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市教育局" sheetId="1" r:id="rId1"/>
    <sheet name="Sheet1" sheetId="2" r:id="rId2"/>
  </sheets>
  <definedNames>
    <definedName name="_xlnm._FilterDatabase" localSheetId="0" hidden="1">市教育局!$A$3:$G$361</definedName>
    <definedName name="_xlnm.Print_Titles" localSheetId="0">市教育局!$2:$3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<sst xmlns="http://schemas.openxmlformats.org/spreadsheetml/2006/main" count="16396" uniqueCount="7460">
  <si>
    <t>附件1</t>
  </si>
  <si>
    <t>体检结果（市教育局）</t>
  </si>
  <si>
    <t>序号</t>
  </si>
  <si>
    <t>招聘单位</t>
  </si>
  <si>
    <t>岗位名称</t>
  </si>
  <si>
    <t>准考证号</t>
  </si>
  <si>
    <t>姓名</t>
  </si>
  <si>
    <t>体检结果</t>
  </si>
  <si>
    <t>备注</t>
  </si>
  <si>
    <t>海口海港学校</t>
  </si>
  <si>
    <t>高中地理</t>
  </si>
  <si>
    <t>248030400327</t>
  </si>
  <si>
    <t>任树强</t>
  </si>
  <si>
    <t>合格</t>
  </si>
  <si>
    <t>高中化学</t>
  </si>
  <si>
    <t>248030200310</t>
  </si>
  <si>
    <t>陈燕</t>
  </si>
  <si>
    <t>海口市滨海第九小学</t>
  </si>
  <si>
    <t>小学道德与法治1</t>
  </si>
  <si>
    <t>248030403710</t>
  </si>
  <si>
    <t>林惠章</t>
  </si>
  <si>
    <t>248030403704</t>
  </si>
  <si>
    <t>陈小玲</t>
  </si>
  <si>
    <t>小学道德与法治2</t>
  </si>
  <si>
    <t>248030403719</t>
  </si>
  <si>
    <t>韦健秋</t>
  </si>
  <si>
    <t>怀孕暂缓体检</t>
  </si>
  <si>
    <t>248030403717</t>
  </si>
  <si>
    <t>谢淑英</t>
  </si>
  <si>
    <t>小学科学</t>
  </si>
  <si>
    <t>248030203907</t>
  </si>
  <si>
    <t>周婷</t>
  </si>
  <si>
    <t>248030203905</t>
  </si>
  <si>
    <t>翁光民</t>
  </si>
  <si>
    <t>小学美术1</t>
  </si>
  <si>
    <t>248030400729</t>
  </si>
  <si>
    <t>张颖娟</t>
  </si>
  <si>
    <t>小学美术2</t>
  </si>
  <si>
    <t>248030400903</t>
  </si>
  <si>
    <t>李思彤</t>
  </si>
  <si>
    <t>248030400830</t>
  </si>
  <si>
    <t>何小丹</t>
  </si>
  <si>
    <t>248030400911</t>
  </si>
  <si>
    <t>王冠琳</t>
  </si>
  <si>
    <t>小学数学1</t>
  </si>
  <si>
    <t>248030301507</t>
  </si>
  <si>
    <t>颜海蓉</t>
  </si>
  <si>
    <t>248030301530</t>
  </si>
  <si>
    <t>杨琦</t>
  </si>
  <si>
    <t>248030301615</t>
  </si>
  <si>
    <t>周辉</t>
  </si>
  <si>
    <t>小学数学2</t>
  </si>
  <si>
    <t>248030301625</t>
  </si>
  <si>
    <t>贾丽</t>
  </si>
  <si>
    <t>248030301716</t>
  </si>
  <si>
    <t>莫俊静</t>
  </si>
  <si>
    <t>248030301706</t>
  </si>
  <si>
    <t>吴珍珍</t>
  </si>
  <si>
    <t>248030301715</t>
  </si>
  <si>
    <t>林慧萍</t>
  </si>
  <si>
    <t>248030301630</t>
  </si>
  <si>
    <t>谭莎莎</t>
  </si>
  <si>
    <t>248030301624</t>
  </si>
  <si>
    <t>程琳</t>
  </si>
  <si>
    <t>248030301705</t>
  </si>
  <si>
    <t>黄莉芬</t>
  </si>
  <si>
    <t>小学体育1</t>
  </si>
  <si>
    <t>248030201602</t>
  </si>
  <si>
    <t>谢宜兴</t>
  </si>
  <si>
    <t>小学体育2</t>
  </si>
  <si>
    <t>248030201823</t>
  </si>
  <si>
    <t>温道江</t>
  </si>
  <si>
    <t>248030201820</t>
  </si>
  <si>
    <t>陈候祥</t>
  </si>
  <si>
    <t>小学音乐1</t>
  </si>
  <si>
    <t>248030202819</t>
  </si>
  <si>
    <t>王蕊</t>
  </si>
  <si>
    <t>小学音乐2</t>
  </si>
  <si>
    <t>248030203111</t>
  </si>
  <si>
    <t>王雪明</t>
  </si>
  <si>
    <t>248030203114</t>
  </si>
  <si>
    <t>王丽媛</t>
  </si>
  <si>
    <t>小学英语1</t>
  </si>
  <si>
    <t>248030501707</t>
  </si>
  <si>
    <t>杨小雪</t>
  </si>
  <si>
    <t>248030501713</t>
  </si>
  <si>
    <t>麦蔚</t>
  </si>
  <si>
    <t>248030501719</t>
  </si>
  <si>
    <t>叶蕾</t>
  </si>
  <si>
    <t>小学英语2</t>
  </si>
  <si>
    <t>248030502010</t>
  </si>
  <si>
    <t>吕菲</t>
  </si>
  <si>
    <t>248030501816</t>
  </si>
  <si>
    <t>林青</t>
  </si>
  <si>
    <t>248030501908</t>
  </si>
  <si>
    <t>李娥</t>
  </si>
  <si>
    <t>248030501815</t>
  </si>
  <si>
    <t>曾雪敏</t>
  </si>
  <si>
    <t>248030502129</t>
  </si>
  <si>
    <t>孙维奇</t>
  </si>
  <si>
    <t>248030501903</t>
  </si>
  <si>
    <t>蓝洁</t>
  </si>
  <si>
    <t>248030502209</t>
  </si>
  <si>
    <t>肖梦远</t>
  </si>
  <si>
    <t>248030501819</t>
  </si>
  <si>
    <t>徐婧</t>
  </si>
  <si>
    <t>248030501916</t>
  </si>
  <si>
    <t>李晓静</t>
  </si>
  <si>
    <t>小学语文1</t>
  </si>
  <si>
    <t>248030101627</t>
  </si>
  <si>
    <t>许虹</t>
  </si>
  <si>
    <t>248030101629</t>
  </si>
  <si>
    <t>王刚</t>
  </si>
  <si>
    <t>248030101618</t>
  </si>
  <si>
    <t>黄馨锌</t>
  </si>
  <si>
    <t>小学语文2</t>
  </si>
  <si>
    <t>248030102130</t>
  </si>
  <si>
    <t>周心慧</t>
  </si>
  <si>
    <t>248030102106</t>
  </si>
  <si>
    <t>李畅</t>
  </si>
  <si>
    <t>248030102108</t>
  </si>
  <si>
    <t>刘莹</t>
  </si>
  <si>
    <t>248030102009</t>
  </si>
  <si>
    <t>张松</t>
  </si>
  <si>
    <t>248030102107</t>
  </si>
  <si>
    <t>邢妙雨</t>
  </si>
  <si>
    <t>248030102201</t>
  </si>
  <si>
    <t>胡徽媛</t>
  </si>
  <si>
    <t>248030102127</t>
  </si>
  <si>
    <t>凌子楣</t>
  </si>
  <si>
    <t>248030102114</t>
  </si>
  <si>
    <t>陈佳佳</t>
  </si>
  <si>
    <t>248030102101</t>
  </si>
  <si>
    <t>庞琳</t>
  </si>
  <si>
    <t>海口市滨海第九小学美丽沙分校</t>
  </si>
  <si>
    <t>小学道德与法治</t>
  </si>
  <si>
    <t>248030403629</t>
  </si>
  <si>
    <t>吴海霞</t>
  </si>
  <si>
    <t>248030203828</t>
  </si>
  <si>
    <t>韦馨定</t>
  </si>
  <si>
    <t>小学美术</t>
  </si>
  <si>
    <t>248030400711</t>
  </si>
  <si>
    <t>刘方方</t>
  </si>
  <si>
    <t>248030301213</t>
  </si>
  <si>
    <t>王艳</t>
  </si>
  <si>
    <t>248030301214</t>
  </si>
  <si>
    <t>韩旭</t>
  </si>
  <si>
    <t>248030301322</t>
  </si>
  <si>
    <t>蔡巧月</t>
  </si>
  <si>
    <t>248030301330</t>
  </si>
  <si>
    <t>陈小平</t>
  </si>
  <si>
    <t>248030301413</t>
  </si>
  <si>
    <t>郭倩</t>
  </si>
  <si>
    <t>248030301414</t>
  </si>
  <si>
    <t>邓道雄</t>
  </si>
  <si>
    <t>248030301408</t>
  </si>
  <si>
    <t>王可盈</t>
  </si>
  <si>
    <t>小学体育</t>
  </si>
  <si>
    <t>248030201530</t>
  </si>
  <si>
    <t>陈明召</t>
  </si>
  <si>
    <t>248030201523</t>
  </si>
  <si>
    <t>王丁威</t>
  </si>
  <si>
    <t>小学信息技术</t>
  </si>
  <si>
    <t>248030404230</t>
  </si>
  <si>
    <t>周小杨</t>
  </si>
  <si>
    <t>小学音乐</t>
  </si>
  <si>
    <t>248030202803</t>
  </si>
  <si>
    <t>陈焕冠</t>
  </si>
  <si>
    <t>248030500929</t>
  </si>
  <si>
    <t>吴薇薇</t>
  </si>
  <si>
    <t>248030501028</t>
  </si>
  <si>
    <t>张兰</t>
  </si>
  <si>
    <t>248030501210</t>
  </si>
  <si>
    <t>曾垂铧</t>
  </si>
  <si>
    <t>248030501316</t>
  </si>
  <si>
    <t>朱文文</t>
  </si>
  <si>
    <t>248030501319</t>
  </si>
  <si>
    <t>陈小妹</t>
  </si>
  <si>
    <t>248030501315</t>
  </si>
  <si>
    <t>黄颖芳</t>
  </si>
  <si>
    <t>248030501422</t>
  </si>
  <si>
    <t>杨铭雪</t>
  </si>
  <si>
    <t>248030501427</t>
  </si>
  <si>
    <t>谢焕云</t>
  </si>
  <si>
    <t>248030101112</t>
  </si>
  <si>
    <t>陈艳</t>
  </si>
  <si>
    <t>248030101125</t>
  </si>
  <si>
    <t>王敏</t>
  </si>
  <si>
    <t>248030101103</t>
  </si>
  <si>
    <t>张夏禾</t>
  </si>
  <si>
    <t>248030100907</t>
  </si>
  <si>
    <t>孙钰</t>
  </si>
  <si>
    <t>248030101119</t>
  </si>
  <si>
    <t>符芳秀</t>
  </si>
  <si>
    <t>248030100918</t>
  </si>
  <si>
    <t>刘秩群</t>
  </si>
  <si>
    <t>248030101410</t>
  </si>
  <si>
    <t>陈凤</t>
  </si>
  <si>
    <t>248030101404</t>
  </si>
  <si>
    <t>文侨花</t>
  </si>
  <si>
    <t>248030101412</t>
  </si>
  <si>
    <t>张曼</t>
  </si>
  <si>
    <t>248030101321</t>
  </si>
  <si>
    <t>莫欣欣</t>
  </si>
  <si>
    <t>248030101325</t>
  </si>
  <si>
    <t>林羚</t>
  </si>
  <si>
    <t>小学语文3</t>
  </si>
  <si>
    <t>248030101507</t>
  </si>
  <si>
    <t>陈小梦</t>
  </si>
  <si>
    <t>248030101428</t>
  </si>
  <si>
    <t>庞玉洁</t>
  </si>
  <si>
    <t>248030101514</t>
  </si>
  <si>
    <t>周芸睿</t>
  </si>
  <si>
    <t>248030101429</t>
  </si>
  <si>
    <t>詹楚滢</t>
  </si>
  <si>
    <t>248030101511</t>
  </si>
  <si>
    <t>吴晓雪</t>
  </si>
  <si>
    <t>海口市滨海第九小学新埠学校</t>
  </si>
  <si>
    <t>248030403723</t>
  </si>
  <si>
    <t>王玲</t>
  </si>
  <si>
    <t>小学科学1</t>
  </si>
  <si>
    <t>248030203922</t>
  </si>
  <si>
    <t>翁晓虹</t>
  </si>
  <si>
    <t>小学科学2</t>
  </si>
  <si>
    <t>248030203928</t>
  </si>
  <si>
    <t>王春玉</t>
  </si>
  <si>
    <t>248030400918</t>
  </si>
  <si>
    <t>窦思聪</t>
  </si>
  <si>
    <t>小学数学</t>
  </si>
  <si>
    <t>248030301812</t>
  </si>
  <si>
    <t>张琦</t>
  </si>
  <si>
    <t>248030203204</t>
  </si>
  <si>
    <t>郭诗怡</t>
  </si>
  <si>
    <t>248030102208</t>
  </si>
  <si>
    <t>张国昕</t>
  </si>
  <si>
    <t>248030102227</t>
  </si>
  <si>
    <t>张琰琰</t>
  </si>
  <si>
    <t>248030102413</t>
  </si>
  <si>
    <t>梁其腾</t>
  </si>
  <si>
    <t>248030102406</t>
  </si>
  <si>
    <t>李秋妹</t>
  </si>
  <si>
    <t>248030102416</t>
  </si>
  <si>
    <t>王花</t>
  </si>
  <si>
    <t>海口市第二十五小学</t>
  </si>
  <si>
    <t>248030403601</t>
  </si>
  <si>
    <t>钟思盈</t>
  </si>
  <si>
    <t>海口市第二中学</t>
  </si>
  <si>
    <t>初中英语</t>
  </si>
  <si>
    <t>248030502325</t>
  </si>
  <si>
    <t>王雅楠</t>
  </si>
  <si>
    <t>高中历史</t>
  </si>
  <si>
    <t>248030300409</t>
  </si>
  <si>
    <t>郑有强</t>
  </si>
  <si>
    <t>高中数学</t>
  </si>
  <si>
    <t>248030301907</t>
  </si>
  <si>
    <t>吴英健</t>
  </si>
  <si>
    <t>高中语文</t>
  </si>
  <si>
    <t>248030102605</t>
  </si>
  <si>
    <t>麦婕</t>
  </si>
  <si>
    <t>海口市第一中学南海学校</t>
  </si>
  <si>
    <t>初中历史</t>
  </si>
  <si>
    <t>248030300703</t>
  </si>
  <si>
    <r>
      <rPr>
        <sz val="12"/>
        <rFont val="仿宋_GB2312"/>
        <charset val="134"/>
      </rPr>
      <t>杜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烟</t>
    </r>
  </si>
  <si>
    <t>初中数学</t>
  </si>
  <si>
    <t>248030302226</t>
  </si>
  <si>
    <t>孙定钊</t>
  </si>
  <si>
    <t>不合格</t>
  </si>
  <si>
    <t>初中物理</t>
  </si>
  <si>
    <t>248030402727</t>
  </si>
  <si>
    <t>王惠芳</t>
  </si>
  <si>
    <t>248030503214</t>
  </si>
  <si>
    <t>王婧静</t>
  </si>
  <si>
    <t>初中语文</t>
  </si>
  <si>
    <t>248030103217</t>
  </si>
  <si>
    <t>陈卓仪</t>
  </si>
  <si>
    <t>海口市港湾小学</t>
  </si>
  <si>
    <t>248030403801</t>
  </si>
  <si>
    <t>苏茹</t>
  </si>
  <si>
    <t>海口市海景学校</t>
  </si>
  <si>
    <t>248030300124</t>
  </si>
  <si>
    <t>周羿彤</t>
  </si>
  <si>
    <t>248030500909</t>
  </si>
  <si>
    <t>高宇巍</t>
  </si>
  <si>
    <t>248030403516</t>
  </si>
  <si>
    <t>隋佳宁</t>
  </si>
  <si>
    <t>248030403515</t>
  </si>
  <si>
    <t>林瑶芬</t>
  </si>
  <si>
    <t>248030300914</t>
  </si>
  <si>
    <t>何云冰</t>
  </si>
  <si>
    <t>248030300904</t>
  </si>
  <si>
    <t>高雅</t>
  </si>
  <si>
    <t>248030300923</t>
  </si>
  <si>
    <t>王秀颖</t>
  </si>
  <si>
    <t>248030300930</t>
  </si>
  <si>
    <t>林清</t>
  </si>
  <si>
    <t>248030301007</t>
  </si>
  <si>
    <t>潘紫乔</t>
  </si>
  <si>
    <t>248030201404</t>
  </si>
  <si>
    <t>邝俊山</t>
  </si>
  <si>
    <t>248030202526</t>
  </si>
  <si>
    <t>杨晶</t>
  </si>
  <si>
    <t>248030500723</t>
  </si>
  <si>
    <t>康兆新</t>
  </si>
  <si>
    <t>248030500626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</si>
  <si>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</si>
  <si>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248030500816</t>
  </si>
  <si>
    <t>谭静</t>
  </si>
  <si>
    <t>248030100312</t>
  </si>
  <si>
    <t>邱惠芳</t>
  </si>
  <si>
    <t>248030100315</t>
  </si>
  <si>
    <t>王瑾</t>
  </si>
  <si>
    <t>248030100421</t>
  </si>
  <si>
    <t>叶雪芳</t>
  </si>
  <si>
    <t>248030100524</t>
  </si>
  <si>
    <t>李海莹</t>
  </si>
  <si>
    <t>248030100518</t>
  </si>
  <si>
    <t>陈春韵</t>
  </si>
  <si>
    <t>248030100520</t>
  </si>
  <si>
    <t>吴欢</t>
  </si>
  <si>
    <t>海口市机关幼儿园</t>
  </si>
  <si>
    <t>校医</t>
  </si>
  <si>
    <t>248030503511</t>
  </si>
  <si>
    <t>郑玉和</t>
  </si>
  <si>
    <t>海口市灵山中学</t>
  </si>
  <si>
    <t>248030302029</t>
  </si>
  <si>
    <t>罗贻优</t>
  </si>
  <si>
    <t>——</t>
  </si>
  <si>
    <t>放弃</t>
  </si>
  <si>
    <t>248030302105</t>
  </si>
  <si>
    <t>赵玉涵</t>
  </si>
  <si>
    <t>递补</t>
  </si>
  <si>
    <t>初中体育</t>
  </si>
  <si>
    <t>248030202027</t>
  </si>
  <si>
    <t>刘冰</t>
  </si>
  <si>
    <t>248030502713</t>
  </si>
  <si>
    <t>王妹福</t>
  </si>
  <si>
    <t>海口市琼山华侨中学</t>
  </si>
  <si>
    <t>初中生物1</t>
  </si>
  <si>
    <t>248030402006</t>
  </si>
  <si>
    <t>赵倩</t>
  </si>
  <si>
    <t>初中生物2</t>
  </si>
  <si>
    <t>248030402109</t>
  </si>
  <si>
    <t>符冬雨</t>
  </si>
  <si>
    <t>初中数学1</t>
  </si>
  <si>
    <t>248030301930</t>
  </si>
  <si>
    <t>朱驰骋</t>
  </si>
  <si>
    <t>248030302005</t>
  </si>
  <si>
    <t>吴亚新</t>
  </si>
  <si>
    <t>初中数学2</t>
  </si>
  <si>
    <t>248030302015</t>
  </si>
  <si>
    <t>宁慧兰</t>
  </si>
  <si>
    <t>248030302021</t>
  </si>
  <si>
    <t>苏向婷</t>
  </si>
  <si>
    <t>248030202008</t>
  </si>
  <si>
    <t>朱兴健</t>
  </si>
  <si>
    <t>248030402522</t>
  </si>
  <si>
    <t>李丽香</t>
  </si>
  <si>
    <t>初中心理</t>
  </si>
  <si>
    <t>248030403211</t>
  </si>
  <si>
    <t>陈心怡</t>
  </si>
  <si>
    <t>初中英语1</t>
  </si>
  <si>
    <t>248030502502</t>
  </si>
  <si>
    <t>冯韵洁</t>
  </si>
  <si>
    <t>初中英语2</t>
  </si>
  <si>
    <t>248030502604</t>
  </si>
  <si>
    <t>王瑶青</t>
  </si>
  <si>
    <t>248030502613</t>
  </si>
  <si>
    <t>刘凯鑫</t>
  </si>
  <si>
    <t>248030102706</t>
  </si>
  <si>
    <t>李颜如</t>
  </si>
  <si>
    <t>高中生物</t>
  </si>
  <si>
    <t>248030401724</t>
  </si>
  <si>
    <t>王迷迷</t>
  </si>
  <si>
    <t>248030401618</t>
  </si>
  <si>
    <t>王邵园</t>
  </si>
  <si>
    <t>高中物理</t>
  </si>
  <si>
    <t>248030402517</t>
  </si>
  <si>
    <t>张夏銮</t>
  </si>
  <si>
    <t>高中心理</t>
  </si>
  <si>
    <t>248030403117</t>
  </si>
  <si>
    <t>钟惠英</t>
  </si>
  <si>
    <t>248030403122</t>
  </si>
  <si>
    <t>关月荷</t>
  </si>
  <si>
    <t>高中政治</t>
  </si>
  <si>
    <t>248030403903</t>
  </si>
  <si>
    <t>何和国</t>
  </si>
  <si>
    <t>248030403827</t>
  </si>
  <si>
    <t>曹丽娇</t>
  </si>
  <si>
    <t>海口市琼山中学</t>
  </si>
  <si>
    <t>248030300304</t>
  </si>
  <si>
    <t>陈萍</t>
  </si>
  <si>
    <t>248030402330</t>
  </si>
  <si>
    <t>袁庭奇</t>
  </si>
  <si>
    <t>248030102507</t>
  </si>
  <si>
    <r>
      <rPr>
        <sz val="12"/>
        <rFont val="仿宋_GB2312"/>
        <charset val="134"/>
      </rPr>
      <t>谭华</t>
    </r>
    <r>
      <rPr>
        <sz val="12"/>
        <rFont val="宋体"/>
        <charset val="134"/>
      </rPr>
      <t>玥</t>
    </r>
  </si>
  <si>
    <t>248030400208</t>
  </si>
  <si>
    <t>陈文丹</t>
  </si>
  <si>
    <t>248030101822</t>
  </si>
  <si>
    <t>邢慧青</t>
  </si>
  <si>
    <t>248030101817</t>
  </si>
  <si>
    <t>丁小琦</t>
  </si>
  <si>
    <t>海口市琼山中学谭文学校</t>
  </si>
  <si>
    <t>248030400306</t>
  </si>
  <si>
    <t>苏运来</t>
  </si>
  <si>
    <t>248030200210</t>
  </si>
  <si>
    <t>王善妃</t>
  </si>
  <si>
    <t>248030200202</t>
  </si>
  <si>
    <t>赵思英</t>
  </si>
  <si>
    <t>248030300130</t>
  </si>
  <si>
    <t>林万琼</t>
  </si>
  <si>
    <t>高中美术</t>
  </si>
  <si>
    <t>248030401009</t>
  </si>
  <si>
    <t>张天渠</t>
  </si>
  <si>
    <t>248030401506</t>
  </si>
  <si>
    <t>覃小虹</t>
  </si>
  <si>
    <t>248030301822</t>
  </si>
  <si>
    <t>韩悦</t>
  </si>
  <si>
    <t>248030301826</t>
  </si>
  <si>
    <t>许博玲</t>
  </si>
  <si>
    <t>高中体育</t>
  </si>
  <si>
    <t>248030201917</t>
  </si>
  <si>
    <t>景欣</t>
  </si>
  <si>
    <t>248030402422</t>
  </si>
  <si>
    <t>梁振彬</t>
  </si>
  <si>
    <t>248030402417</t>
  </si>
  <si>
    <t>高伟</t>
  </si>
  <si>
    <t>248030403101</t>
  </si>
  <si>
    <t>关峰</t>
  </si>
  <si>
    <t>高中音乐</t>
  </si>
  <si>
    <t>248030203401</t>
  </si>
  <si>
    <t>徐一萍</t>
  </si>
  <si>
    <t>高中英语</t>
  </si>
  <si>
    <t>248030502320</t>
  </si>
  <si>
    <t>洪秋南</t>
  </si>
  <si>
    <t>248030502227</t>
  </si>
  <si>
    <t>林宏晓</t>
  </si>
  <si>
    <t>248030102603</t>
  </si>
  <si>
    <t>符永杰</t>
  </si>
  <si>
    <t>248030102512</t>
  </si>
  <si>
    <t>曾垂能</t>
  </si>
  <si>
    <t>248030403822</t>
  </si>
  <si>
    <t>朱照桃</t>
  </si>
  <si>
    <t>海口市五源河学校</t>
  </si>
  <si>
    <t>初中地理</t>
  </si>
  <si>
    <t>248030400122</t>
  </si>
  <si>
    <t>吴小川</t>
  </si>
  <si>
    <t>248030400105</t>
  </si>
  <si>
    <t>池燕鸣</t>
  </si>
  <si>
    <t>248030400109</t>
  </si>
  <si>
    <t>周文丽</t>
  </si>
  <si>
    <t>248030300114</t>
  </si>
  <si>
    <t>容端</t>
  </si>
  <si>
    <t>248030300107</t>
  </si>
  <si>
    <t>郑引凰</t>
  </si>
  <si>
    <t>初中生物</t>
  </si>
  <si>
    <t>248030401305</t>
  </si>
  <si>
    <t>林晓娜</t>
  </si>
  <si>
    <t>248030401410</t>
  </si>
  <si>
    <t>何资颖</t>
  </si>
  <si>
    <t>248030401322</t>
  </si>
  <si>
    <t>江蕾</t>
  </si>
  <si>
    <t>248030300807</t>
  </si>
  <si>
    <t>陈云秀</t>
  </si>
  <si>
    <t>248030300811</t>
  </si>
  <si>
    <t>陈莹莹</t>
  </si>
  <si>
    <t>248030300808</t>
  </si>
  <si>
    <t>赵日好</t>
  </si>
  <si>
    <t>248030300815</t>
  </si>
  <si>
    <t>麦昌妹</t>
  </si>
  <si>
    <t>初中体育1</t>
  </si>
  <si>
    <t>248030201301</t>
  </si>
  <si>
    <t>曾宪洪</t>
  </si>
  <si>
    <t>初中体育2</t>
  </si>
  <si>
    <t>248030201312</t>
  </si>
  <si>
    <t>韩雪傲</t>
  </si>
  <si>
    <t>初中物理1</t>
  </si>
  <si>
    <t>248030402215</t>
  </si>
  <si>
    <t>张洁</t>
  </si>
  <si>
    <t>初中物理2</t>
  </si>
  <si>
    <t>248030402311</t>
  </si>
  <si>
    <t>吴欣媛</t>
  </si>
  <si>
    <t>248030402309</t>
  </si>
  <si>
    <t>吴晓蕾</t>
  </si>
  <si>
    <t>248030402903</t>
  </si>
  <si>
    <t>黄雅妮</t>
  </si>
  <si>
    <t>248030500303</t>
  </si>
  <si>
    <r>
      <rPr>
        <sz val="12"/>
        <rFont val="仿宋_GB2312"/>
        <charset val="134"/>
      </rPr>
      <t>黄予</t>
    </r>
    <r>
      <rPr>
        <sz val="12"/>
        <rFont val="宋体"/>
        <charset val="134"/>
      </rPr>
      <t>玥</t>
    </r>
  </si>
  <si>
    <t>248030500327</t>
  </si>
  <si>
    <t>黄疆业</t>
  </si>
  <si>
    <t>248030500325</t>
  </si>
  <si>
    <t>欧逸凡</t>
  </si>
  <si>
    <t>248030500402</t>
  </si>
  <si>
    <t>高金慧</t>
  </si>
  <si>
    <t>248030500511</t>
  </si>
  <si>
    <t>夏丽丽</t>
  </si>
  <si>
    <t>248030500506</t>
  </si>
  <si>
    <t>易瑾瑶</t>
  </si>
  <si>
    <t>248030500424</t>
  </si>
  <si>
    <t>张秀洁</t>
  </si>
  <si>
    <t>248030500415</t>
  </si>
  <si>
    <t>李桐</t>
  </si>
  <si>
    <t>初中语文1</t>
  </si>
  <si>
    <t>248030100116</t>
  </si>
  <si>
    <t>邵柯嘉</t>
  </si>
  <si>
    <t>248030100128</t>
  </si>
  <si>
    <t>王美玲</t>
  </si>
  <si>
    <t>初中语文2</t>
  </si>
  <si>
    <t>248030100220</t>
  </si>
  <si>
    <t>何明珊</t>
  </si>
  <si>
    <t>248030100222</t>
  </si>
  <si>
    <t>陈金梅</t>
  </si>
  <si>
    <t>248030100215</t>
  </si>
  <si>
    <t>陈冰冰</t>
  </si>
  <si>
    <t>248030100224</t>
  </si>
  <si>
    <t>曾婷</t>
  </si>
  <si>
    <t>初中政治</t>
  </si>
  <si>
    <t>248030403506</t>
  </si>
  <si>
    <t>陈善娟</t>
  </si>
  <si>
    <t>248030403502</t>
  </si>
  <si>
    <t>林美</t>
  </si>
  <si>
    <t>248030403505</t>
  </si>
  <si>
    <t>卢燕玲</t>
  </si>
  <si>
    <t>248030403504</t>
  </si>
  <si>
    <t>王丽飞</t>
  </si>
  <si>
    <t>248030403317</t>
  </si>
  <si>
    <t>孙园</t>
  </si>
  <si>
    <t>248030403320</t>
  </si>
  <si>
    <t>吴文谋</t>
  </si>
  <si>
    <t>248030403306</t>
  </si>
  <si>
    <t>麦娜</t>
  </si>
  <si>
    <t>248030403304</t>
  </si>
  <si>
    <t>张海梅</t>
  </si>
  <si>
    <t>248030403403</t>
  </si>
  <si>
    <t>黎姑小</t>
  </si>
  <si>
    <t>放弃递补</t>
  </si>
  <si>
    <t>248030403330</t>
  </si>
  <si>
    <t>陈荣婷</t>
  </si>
  <si>
    <t>248030403426</t>
  </si>
  <si>
    <t>曹前</t>
  </si>
  <si>
    <t>248030403422</t>
  </si>
  <si>
    <t>王雅梅</t>
  </si>
  <si>
    <t>248030403425</t>
  </si>
  <si>
    <t>岳文倩</t>
  </si>
  <si>
    <t>248030403423</t>
  </si>
  <si>
    <t>范玉玲</t>
  </si>
  <si>
    <t>248030203607</t>
  </si>
  <si>
    <t>王良琴</t>
  </si>
  <si>
    <t>248030203602</t>
  </si>
  <si>
    <t>吴岛荣</t>
  </si>
  <si>
    <t>248030400710</t>
  </si>
  <si>
    <t>赵楚祯</t>
  </si>
  <si>
    <t>248030400704</t>
  </si>
  <si>
    <t>刘一凡</t>
  </si>
  <si>
    <t>248030302625</t>
  </si>
  <si>
    <t>刘静墨</t>
  </si>
  <si>
    <t>248030302526</t>
  </si>
  <si>
    <t>张悦</t>
  </si>
  <si>
    <t>248030302611</t>
  </si>
  <si>
    <t>马铭言</t>
  </si>
  <si>
    <t>248030302517</t>
  </si>
  <si>
    <t>邢彩芳</t>
  </si>
  <si>
    <t>248030302705</t>
  </si>
  <si>
    <t>陈敏</t>
  </si>
  <si>
    <t>248030302629</t>
  </si>
  <si>
    <t>韦腾婷</t>
  </si>
  <si>
    <t>248030302714</t>
  </si>
  <si>
    <t>黎芮彤</t>
  </si>
  <si>
    <t>248030302707</t>
  </si>
  <si>
    <t>李尉芳</t>
  </si>
  <si>
    <t>248030302703</t>
  </si>
  <si>
    <t>符小凤</t>
  </si>
  <si>
    <t>小学数学3</t>
  </si>
  <si>
    <t>248030302804</t>
  </si>
  <si>
    <t>欧金丹</t>
  </si>
  <si>
    <t>248030302803</t>
  </si>
  <si>
    <t>林玉涵</t>
  </si>
  <si>
    <t>248030302727</t>
  </si>
  <si>
    <t>陈怡芳</t>
  </si>
  <si>
    <t>248030302807</t>
  </si>
  <si>
    <t>吴心怡</t>
  </si>
  <si>
    <t>248030201104</t>
  </si>
  <si>
    <t>王翔</t>
  </si>
  <si>
    <t>248030201116</t>
  </si>
  <si>
    <t>陈斌</t>
  </si>
  <si>
    <t>248030201123</t>
  </si>
  <si>
    <t>李元清</t>
  </si>
  <si>
    <t>248030202513</t>
  </si>
  <si>
    <t>陈云立</t>
  </si>
  <si>
    <t>248030500123</t>
  </si>
  <si>
    <t>陈期虹</t>
  </si>
  <si>
    <t>248030500205</t>
  </si>
  <si>
    <t>吴季娟</t>
  </si>
  <si>
    <t>248030500209</t>
  </si>
  <si>
    <t>陈有将</t>
  </si>
  <si>
    <t>248030103503</t>
  </si>
  <si>
    <t>陈富源</t>
  </si>
  <si>
    <t>248030103512</t>
  </si>
  <si>
    <t>林华芸</t>
  </si>
  <si>
    <t>248030103920</t>
  </si>
  <si>
    <t>姜明哲</t>
  </si>
  <si>
    <t>248030103708</t>
  </si>
  <si>
    <t>刘凡</t>
  </si>
  <si>
    <t>248030103918</t>
  </si>
  <si>
    <t>卢慧</t>
  </si>
  <si>
    <t>248030103705</t>
  </si>
  <si>
    <t>唐慧</t>
  </si>
  <si>
    <t>248030103826</t>
  </si>
  <si>
    <t>陈小灿</t>
  </si>
  <si>
    <t>248030104002</t>
  </si>
  <si>
    <t>杜金玲</t>
  </si>
  <si>
    <t>248030104110</t>
  </si>
  <si>
    <t>容茜芸</t>
  </si>
  <si>
    <t>248030104107</t>
  </si>
  <si>
    <t>陈俊婷</t>
  </si>
  <si>
    <t>248030104028</t>
  </si>
  <si>
    <t>陈益艳</t>
  </si>
  <si>
    <t>248030104010</t>
  </si>
  <si>
    <t>黄喜</t>
  </si>
  <si>
    <t>248030104207</t>
  </si>
  <si>
    <t>张鑫</t>
  </si>
  <si>
    <t>248030104202</t>
  </si>
  <si>
    <t>张运敏</t>
  </si>
  <si>
    <t>248030104114</t>
  </si>
  <si>
    <t>成甜</t>
  </si>
  <si>
    <t>248030104210</t>
  </si>
  <si>
    <t>易惠蔓</t>
  </si>
  <si>
    <t>248030104201</t>
  </si>
  <si>
    <t>吴思颖</t>
  </si>
  <si>
    <t>小学语文4</t>
  </si>
  <si>
    <t>248030104216</t>
  </si>
  <si>
    <t>李钰莹</t>
  </si>
  <si>
    <t>248030104314</t>
  </si>
  <si>
    <t>黄慧</t>
  </si>
  <si>
    <t>248030104229</t>
  </si>
  <si>
    <t>何映雪</t>
  </si>
  <si>
    <t>248030104228</t>
  </si>
  <si>
    <t>袁虹羽</t>
  </si>
  <si>
    <t>248030104212</t>
  </si>
  <si>
    <t>许颖</t>
  </si>
  <si>
    <t>海口市椰海学校</t>
  </si>
  <si>
    <t>248030300519</t>
  </si>
  <si>
    <t>吴世茏</t>
  </si>
  <si>
    <t>初中美术</t>
  </si>
  <si>
    <t>248030401030</t>
  </si>
  <si>
    <t>左煜瀚</t>
  </si>
  <si>
    <t>248030302225</t>
  </si>
  <si>
    <t>刘思竹</t>
  </si>
  <si>
    <t>248030302117</t>
  </si>
  <si>
    <t>吴钟宁</t>
  </si>
  <si>
    <t>248030302206</t>
  </si>
  <si>
    <t>钟琴</t>
  </si>
  <si>
    <t>248030202122</t>
  </si>
  <si>
    <t>吴定金</t>
  </si>
  <si>
    <t>248030503115</t>
  </si>
  <si>
    <t>吴金丹</t>
  </si>
  <si>
    <t>248030503020</t>
  </si>
  <si>
    <t>石峰</t>
  </si>
  <si>
    <t>248030502925</t>
  </si>
  <si>
    <t>符文静</t>
  </si>
  <si>
    <t>248030103124</t>
  </si>
  <si>
    <t>陈雨铭</t>
  </si>
  <si>
    <t>248030102925</t>
  </si>
  <si>
    <t>张玉妹</t>
  </si>
  <si>
    <t>248030103015</t>
  </si>
  <si>
    <t>胡梓玉</t>
  </si>
  <si>
    <t>248030102922</t>
  </si>
  <si>
    <t>徐世平</t>
  </si>
  <si>
    <t>248030103030</t>
  </si>
  <si>
    <t>王海蝶</t>
  </si>
  <si>
    <t>248030404012</t>
  </si>
  <si>
    <t>徐盈</t>
  </si>
  <si>
    <t>海口市长流中学</t>
  </si>
  <si>
    <t>248030301914</t>
  </si>
  <si>
    <t>盛鑫玉</t>
  </si>
  <si>
    <t>248030502418</t>
  </si>
  <si>
    <t>陈秀靓</t>
  </si>
  <si>
    <t>248030102628</t>
  </si>
  <si>
    <t>王玉</t>
  </si>
  <si>
    <t>海口市长彤学校</t>
  </si>
  <si>
    <t>248030301118</t>
  </si>
  <si>
    <t>陆丽妃</t>
  </si>
  <si>
    <t>248030201427</t>
  </si>
  <si>
    <t>陈贝贝</t>
  </si>
  <si>
    <t>248030402316</t>
  </si>
  <si>
    <t>吴晓梅</t>
  </si>
  <si>
    <t>248030403525</t>
  </si>
  <si>
    <t>王鼎君</t>
  </si>
  <si>
    <t>248030403520</t>
  </si>
  <si>
    <t>陈婆乾</t>
  </si>
  <si>
    <t>248030203613</t>
  </si>
  <si>
    <t>周秀阳</t>
  </si>
  <si>
    <t>248030301027</t>
  </si>
  <si>
    <t>李晓金</t>
  </si>
  <si>
    <t>248030301114</t>
  </si>
  <si>
    <t>王惠麓</t>
  </si>
  <si>
    <t>248030301113</t>
  </si>
  <si>
    <t>曾晓琳</t>
  </si>
  <si>
    <t>小学英语</t>
  </si>
  <si>
    <t>248030500919</t>
  </si>
  <si>
    <t>王媛</t>
  </si>
  <si>
    <t>248030100601</t>
  </si>
  <si>
    <t>王珊妹</t>
  </si>
  <si>
    <t>248030100725</t>
  </si>
  <si>
    <t>王心迅</t>
  </si>
  <si>
    <t>248030100703</t>
  </si>
  <si>
    <t>李业颖</t>
  </si>
  <si>
    <t>248030100726</t>
  </si>
  <si>
    <t>柳雨希</t>
  </si>
  <si>
    <t>海口市中心幼儿园</t>
  </si>
  <si>
    <t>学前教育1</t>
  </si>
  <si>
    <t>248030503910</t>
  </si>
  <si>
    <t>王堂萃</t>
  </si>
  <si>
    <t>学前教育2</t>
  </si>
  <si>
    <t>248030504122</t>
  </si>
  <si>
    <t>吴姣仪</t>
  </si>
  <si>
    <t>海南(海口)特殊教育学校</t>
  </si>
  <si>
    <t>财务</t>
  </si>
  <si>
    <t>248030105020</t>
  </si>
  <si>
    <t>邱婷婷</t>
  </si>
  <si>
    <t>248030301814</t>
  </si>
  <si>
    <t>王冰</t>
  </si>
  <si>
    <t>248030301816</t>
  </si>
  <si>
    <t>韩飞</t>
  </si>
  <si>
    <t>248030403015</t>
  </si>
  <si>
    <t>何晓庆</t>
  </si>
  <si>
    <t>248030403812</t>
  </si>
  <si>
    <t>黄志灵</t>
  </si>
  <si>
    <t>248030403815</t>
  </si>
  <si>
    <t>顾晓芸</t>
  </si>
  <si>
    <t>248030403810</t>
  </si>
  <si>
    <t>洪暖</t>
  </si>
  <si>
    <t>248030403808</t>
  </si>
  <si>
    <t>张松贝</t>
  </si>
  <si>
    <t>海南白驹学校</t>
  </si>
  <si>
    <t>248030403618</t>
  </si>
  <si>
    <t>董凯进</t>
  </si>
  <si>
    <t>248030403607</t>
  </si>
  <si>
    <t>林惠</t>
  </si>
  <si>
    <t>248030203804</t>
  </si>
  <si>
    <t>潘冰冰</t>
  </si>
  <si>
    <t>248030203629</t>
  </si>
  <si>
    <t>唐鑫鑫</t>
  </si>
  <si>
    <t>248030203717</t>
  </si>
  <si>
    <t>卢运芳</t>
  </si>
  <si>
    <t>248030203624</t>
  </si>
  <si>
    <t>罗丹</t>
  </si>
  <si>
    <t>248030301127</t>
  </si>
  <si>
    <t>吴嘉德</t>
  </si>
  <si>
    <t>小学语文</t>
  </si>
  <si>
    <t>248030100807</t>
  </si>
  <si>
    <t>梁雁</t>
  </si>
  <si>
    <t>海南华侨中学美丽沙分校</t>
  </si>
  <si>
    <t>248030400528</t>
  </si>
  <si>
    <t>谢青彤</t>
  </si>
  <si>
    <t>初中化学1</t>
  </si>
  <si>
    <t>248030200722</t>
  </si>
  <si>
    <t>李腾爱</t>
  </si>
  <si>
    <t>初中化学2</t>
  </si>
  <si>
    <t>248030201004</t>
  </si>
  <si>
    <t>伍理权</t>
  </si>
  <si>
    <t>248030300719</t>
  </si>
  <si>
    <t>符晓寒</t>
  </si>
  <si>
    <t>248030402126</t>
  </si>
  <si>
    <t>郭召意</t>
  </si>
  <si>
    <t>248030302312</t>
  </si>
  <si>
    <t>陈佳芯</t>
  </si>
  <si>
    <t>248030302315</t>
  </si>
  <si>
    <t>孙宁泽</t>
  </si>
  <si>
    <t>248030302320</t>
  </si>
  <si>
    <t>李姑</t>
  </si>
  <si>
    <t>248030302321</t>
  </si>
  <si>
    <t>王君</t>
  </si>
  <si>
    <t>248030202314</t>
  </si>
  <si>
    <t>唐英龙</t>
  </si>
  <si>
    <t>248030202403</t>
  </si>
  <si>
    <t>邓正捷</t>
  </si>
  <si>
    <t>248030402813</t>
  </si>
  <si>
    <t>辛敏</t>
  </si>
  <si>
    <t>248030403225</t>
  </si>
  <si>
    <t>王琼雪</t>
  </si>
  <si>
    <t>初中音乐</t>
  </si>
  <si>
    <t>248030203518</t>
  </si>
  <si>
    <t>李远莉</t>
  </si>
  <si>
    <t>248030503325</t>
  </si>
  <si>
    <t>汪迪</t>
  </si>
  <si>
    <t>248030503226</t>
  </si>
  <si>
    <t>方远</t>
  </si>
  <si>
    <t>248030503422</t>
  </si>
  <si>
    <t>蔡萌</t>
  </si>
  <si>
    <t>248030503415</t>
  </si>
  <si>
    <t>柳少敏</t>
  </si>
  <si>
    <t>248030103311</t>
  </si>
  <si>
    <t>邓金晶</t>
  </si>
  <si>
    <t>248030103321</t>
  </si>
  <si>
    <t>梁韵聆</t>
  </si>
  <si>
    <t>248030103323</t>
  </si>
  <si>
    <t>简仙蕾</t>
  </si>
  <si>
    <t>初中政治1</t>
  </si>
  <si>
    <t>248030404026</t>
  </si>
  <si>
    <t>殷雪</t>
  </si>
  <si>
    <t>初中政治2</t>
  </si>
  <si>
    <t>248030404109</t>
  </si>
  <si>
    <t>杜威仑</t>
  </si>
  <si>
    <t>海南华侨中学新埠学校</t>
  </si>
  <si>
    <t>248030400520</t>
  </si>
  <si>
    <t>廖万霞</t>
  </si>
  <si>
    <t>248030200412</t>
  </si>
  <si>
    <t>文妃</t>
  </si>
  <si>
    <t>248030200619</t>
  </si>
  <si>
    <t>郭仁玲</t>
  </si>
  <si>
    <t>248030300422</t>
  </si>
  <si>
    <t>王婷</t>
  </si>
  <si>
    <t>248030302108</t>
  </si>
  <si>
    <t>248030402626</t>
  </si>
  <si>
    <t>陈小丽</t>
  </si>
  <si>
    <t>248030402701</t>
  </si>
  <si>
    <t>关美琳</t>
  </si>
  <si>
    <t>248030502721</t>
  </si>
  <si>
    <t>张晋铭</t>
  </si>
  <si>
    <t>248030502818</t>
  </si>
  <si>
    <t>陆倩莹</t>
  </si>
  <si>
    <t>248030102719</t>
  </si>
  <si>
    <t>冯秋楠</t>
  </si>
  <si>
    <t>248030102809</t>
  </si>
  <si>
    <t>248030403930</t>
  </si>
  <si>
    <t>吴兰</t>
  </si>
  <si>
    <t>身份证号码</t>
  </si>
  <si>
    <t>姜雪滢</t>
  </si>
  <si>
    <t>刘诗琪</t>
  </si>
  <si>
    <t>陈秋月</t>
  </si>
  <si>
    <t>张煦琨</t>
  </si>
  <si>
    <t>陈建</t>
  </si>
  <si>
    <t>李小丽</t>
  </si>
  <si>
    <t>周蔚琨</t>
  </si>
  <si>
    <t>潘士云</t>
  </si>
  <si>
    <t>鲍亚姑</t>
  </si>
  <si>
    <t>林静</t>
  </si>
  <si>
    <t>李秋丽</t>
  </si>
  <si>
    <t>符涛</t>
  </si>
  <si>
    <t>翁瑜蔚</t>
  </si>
  <si>
    <t>羊冠凤</t>
  </si>
  <si>
    <t>吴亭</t>
  </si>
  <si>
    <t>曾秋丹</t>
  </si>
  <si>
    <t>罗维玲</t>
  </si>
  <si>
    <t>岳晓亚</t>
  </si>
  <si>
    <t>黄振智</t>
  </si>
  <si>
    <t>高丽</t>
  </si>
  <si>
    <t>冯珑哲</t>
  </si>
  <si>
    <t>羊玉姣</t>
  </si>
  <si>
    <t>王绪月</t>
  </si>
  <si>
    <t>符大书</t>
  </si>
  <si>
    <t>邓小金</t>
  </si>
  <si>
    <t>王长丽</t>
  </si>
  <si>
    <t>陈鹏</t>
  </si>
  <si>
    <t>莫文婉</t>
  </si>
  <si>
    <t>符英柳</t>
  </si>
  <si>
    <t>符芳源</t>
  </si>
  <si>
    <t>林雪莹</t>
  </si>
  <si>
    <t>刘昱呈</t>
  </si>
  <si>
    <t>陈惠景</t>
  </si>
  <si>
    <t>刘宁</t>
  </si>
  <si>
    <t>王康森</t>
  </si>
  <si>
    <t>林海威</t>
  </si>
  <si>
    <t>周美燕</t>
  </si>
  <si>
    <t>刘晓梅</t>
  </si>
  <si>
    <t>谢瑞雪</t>
  </si>
  <si>
    <t>何学真</t>
  </si>
  <si>
    <t>符玉</t>
  </si>
  <si>
    <t>李海生</t>
  </si>
  <si>
    <t>刘杰</t>
  </si>
  <si>
    <t>刘惠玲</t>
  </si>
  <si>
    <t>陈慧英</t>
  </si>
  <si>
    <t>吴柳秀</t>
  </si>
  <si>
    <t>李欢乐</t>
  </si>
  <si>
    <t>王允</t>
  </si>
  <si>
    <t>秦栏娟</t>
  </si>
  <si>
    <t>马壮壮</t>
  </si>
  <si>
    <t>王秀婷</t>
  </si>
  <si>
    <t>杨瑜</t>
  </si>
  <si>
    <t>鄢江丽</t>
  </si>
  <si>
    <t>陈嘉健</t>
  </si>
  <si>
    <t>李方榕</t>
  </si>
  <si>
    <t>符秀弯</t>
  </si>
  <si>
    <t>陈弟弟</t>
  </si>
  <si>
    <t>张昌麒</t>
  </si>
  <si>
    <t>符一冰</t>
  </si>
  <si>
    <t>刘慈玲</t>
  </si>
  <si>
    <t>卢泓伊</t>
  </si>
  <si>
    <t>彭艳</t>
  </si>
  <si>
    <t>王玉霞</t>
  </si>
  <si>
    <t>周诗诗</t>
  </si>
  <si>
    <t>翟艳艳</t>
  </si>
  <si>
    <t>王卫娜</t>
  </si>
  <si>
    <t>赵开娟</t>
  </si>
  <si>
    <t>颜家慧</t>
  </si>
  <si>
    <t>刘振丹</t>
  </si>
  <si>
    <t>陈益端</t>
  </si>
  <si>
    <t>黄京京</t>
  </si>
  <si>
    <t>符岸珠</t>
  </si>
  <si>
    <t>叶艳</t>
  </si>
  <si>
    <t>陈丽丽</t>
  </si>
  <si>
    <t>李登婷</t>
  </si>
  <si>
    <t>黄康慧</t>
  </si>
  <si>
    <t>王颖</t>
  </si>
  <si>
    <t>杨政</t>
  </si>
  <si>
    <t>吴紫因</t>
  </si>
  <si>
    <t>周瑞娜</t>
  </si>
  <si>
    <t>唐慧玲</t>
  </si>
  <si>
    <t>谢佩珊</t>
  </si>
  <si>
    <t>林少琴</t>
  </si>
  <si>
    <t>王明珠</t>
  </si>
  <si>
    <t>符鲜风</t>
  </si>
  <si>
    <t>王春梅</t>
  </si>
  <si>
    <t>钟云</t>
  </si>
  <si>
    <t>黎世莹</t>
  </si>
  <si>
    <t>吴柯毅</t>
  </si>
  <si>
    <t>孙慧珍</t>
  </si>
  <si>
    <t>李红杨</t>
  </si>
  <si>
    <t>黄启彬</t>
  </si>
  <si>
    <t>黄英姿</t>
  </si>
  <si>
    <t>李浩</t>
  </si>
  <si>
    <t>刘涵涵</t>
  </si>
  <si>
    <t>闫鑫</t>
  </si>
  <si>
    <t>王春微</t>
  </si>
  <si>
    <t>彭蝶</t>
  </si>
  <si>
    <t>陈锦娥</t>
  </si>
  <si>
    <t>黄丽贤</t>
  </si>
  <si>
    <t>周琼香</t>
  </si>
  <si>
    <t>郭小贝</t>
  </si>
  <si>
    <t>陈其美</t>
  </si>
  <si>
    <t>吴小苇</t>
  </si>
  <si>
    <t>纪金豆</t>
  </si>
  <si>
    <t>曾蕾</t>
  </si>
  <si>
    <t>陈雪飞</t>
  </si>
  <si>
    <t>张少艳</t>
  </si>
  <si>
    <t>张志朋</t>
  </si>
  <si>
    <t>唐琳玲</t>
  </si>
  <si>
    <t>陈荣蕃</t>
  </si>
  <si>
    <t>胡肖颜</t>
  </si>
  <si>
    <t>张桂榕</t>
  </si>
  <si>
    <t>潘天雪</t>
  </si>
  <si>
    <t>瞿诗涵</t>
  </si>
  <si>
    <t>宋歌</t>
  </si>
  <si>
    <t>贺祯</t>
  </si>
  <si>
    <t>吴清威</t>
  </si>
  <si>
    <t>汤俊强</t>
  </si>
  <si>
    <t>陈玉</t>
  </si>
  <si>
    <t>蒲巨盛</t>
  </si>
  <si>
    <t>冯朝冰</t>
  </si>
  <si>
    <t>王睿欣</t>
  </si>
  <si>
    <t>马驰天</t>
  </si>
  <si>
    <t>胡红</t>
  </si>
  <si>
    <t>庄兀</t>
  </si>
  <si>
    <t>辜柳霜</t>
  </si>
  <si>
    <t>黄慧菲</t>
  </si>
  <si>
    <t>郑叶</t>
  </si>
  <si>
    <t>李婷婷</t>
  </si>
  <si>
    <t>林志芬</t>
  </si>
  <si>
    <t>张敏梅</t>
  </si>
  <si>
    <t>余露</t>
  </si>
  <si>
    <t>黄格琦</t>
  </si>
  <si>
    <t>龙九菀</t>
  </si>
  <si>
    <t>谢洁</t>
  </si>
  <si>
    <t>曾安敏</t>
  </si>
  <si>
    <t>黎才翠</t>
  </si>
  <si>
    <t>杨元蕾</t>
  </si>
  <si>
    <t>林春娃</t>
  </si>
  <si>
    <t>王慧伊</t>
  </si>
  <si>
    <t>周琪滨</t>
  </si>
  <si>
    <t>魏玉</t>
  </si>
  <si>
    <t>布蕾</t>
  </si>
  <si>
    <t>吴学政</t>
  </si>
  <si>
    <t>张琳达</t>
  </si>
  <si>
    <t>方奕玉</t>
  </si>
  <si>
    <t>吴乾莹</t>
  </si>
  <si>
    <t>龙籍艺</t>
  </si>
  <si>
    <t>钟静珍</t>
  </si>
  <si>
    <t>黄子倪</t>
  </si>
  <si>
    <t>张祖薇</t>
  </si>
  <si>
    <t>钟婧</t>
  </si>
  <si>
    <t>胡梅</t>
  </si>
  <si>
    <t>黄文春</t>
  </si>
  <si>
    <t>张小燕</t>
  </si>
  <si>
    <t>王生标</t>
  </si>
  <si>
    <t>卢惠</t>
  </si>
  <si>
    <t>张作敏</t>
  </si>
  <si>
    <t>陈秋语</t>
  </si>
  <si>
    <t>余许熙</t>
  </si>
  <si>
    <t>赵娟</t>
  </si>
  <si>
    <t>周丹</t>
  </si>
  <si>
    <t>符永银</t>
  </si>
  <si>
    <t>李璐</t>
  </si>
  <si>
    <t>王秋平</t>
  </si>
  <si>
    <t>赵海生</t>
  </si>
  <si>
    <t>陈晓琪</t>
  </si>
  <si>
    <t>王一格</t>
  </si>
  <si>
    <t>胡玥</t>
  </si>
  <si>
    <t>崔欣</t>
  </si>
  <si>
    <t>陈妍柳</t>
  </si>
  <si>
    <t>张玉铃</t>
  </si>
  <si>
    <t>李双灼</t>
  </si>
  <si>
    <t>卢裕晟</t>
  </si>
  <si>
    <t>符锡垦</t>
  </si>
  <si>
    <t>李拔鸿</t>
  </si>
  <si>
    <t>贾喻婷</t>
  </si>
  <si>
    <t>高睿玉</t>
  </si>
  <si>
    <t>陈思思</t>
  </si>
  <si>
    <t>林家乐</t>
  </si>
  <si>
    <t>郑珂</t>
  </si>
  <si>
    <t>符传丹</t>
  </si>
  <si>
    <t>刘娅</t>
  </si>
  <si>
    <t>吴井爱</t>
  </si>
  <si>
    <t>刘春花</t>
  </si>
  <si>
    <t>蔡玉莹</t>
  </si>
  <si>
    <t>羊淑燕</t>
  </si>
  <si>
    <t>陈静</t>
  </si>
  <si>
    <t>谢克振</t>
  </si>
  <si>
    <t>吉妹</t>
  </si>
  <si>
    <t>符丽如</t>
  </si>
  <si>
    <t>郭绍宝</t>
  </si>
  <si>
    <t>符玲妹</t>
  </si>
  <si>
    <t>查张雅</t>
  </si>
  <si>
    <t>辜柳冰</t>
  </si>
  <si>
    <t>文苏环</t>
  </si>
  <si>
    <t>曾小慧</t>
  </si>
  <si>
    <t>王尾英</t>
  </si>
  <si>
    <t>王焕嘉</t>
  </si>
  <si>
    <t>苏肖月</t>
  </si>
  <si>
    <t>林彩苹</t>
  </si>
  <si>
    <t>吴雨琴</t>
  </si>
  <si>
    <t>苏益妹</t>
  </si>
  <si>
    <t>刘伟</t>
  </si>
  <si>
    <t>陈慧芬</t>
  </si>
  <si>
    <t>吴小佳</t>
  </si>
  <si>
    <t>唐惠敏</t>
  </si>
  <si>
    <t>吴景章</t>
  </si>
  <si>
    <t>陈必博</t>
  </si>
  <si>
    <t>欧开培</t>
  </si>
  <si>
    <t>苏圆</t>
  </si>
  <si>
    <t>林小芳</t>
  </si>
  <si>
    <t>王燕诗</t>
  </si>
  <si>
    <t>王小亚</t>
  </si>
  <si>
    <t>刘雅汝</t>
  </si>
  <si>
    <t>陈秀丽</t>
  </si>
  <si>
    <t>潘科言</t>
  </si>
  <si>
    <t>吴晓瑜</t>
  </si>
  <si>
    <t>王威</t>
  </si>
  <si>
    <t>王惠敏</t>
  </si>
  <si>
    <t>符金飞</t>
  </si>
  <si>
    <t>张柔</t>
  </si>
  <si>
    <t>李香福</t>
  </si>
  <si>
    <t>苏洁</t>
  </si>
  <si>
    <t>陈亚卉</t>
  </si>
  <si>
    <t>陈蓉</t>
  </si>
  <si>
    <t>王莲芳</t>
  </si>
  <si>
    <t>陆媛慧</t>
  </si>
  <si>
    <t>赵月秀</t>
  </si>
  <si>
    <t>吴世茂</t>
  </si>
  <si>
    <t>王雨华</t>
  </si>
  <si>
    <t>林敏敏</t>
  </si>
  <si>
    <t>杜芸春</t>
  </si>
  <si>
    <t>周茹</t>
  </si>
  <si>
    <t>麦明爱</t>
  </si>
  <si>
    <t>王允桂</t>
  </si>
  <si>
    <t>翁月乙</t>
  </si>
  <si>
    <t>曾青杏</t>
  </si>
  <si>
    <t>王妍</t>
  </si>
  <si>
    <t>梁百川</t>
  </si>
  <si>
    <t>徐育银</t>
  </si>
  <si>
    <t>于海鑫</t>
  </si>
  <si>
    <t>李春树</t>
  </si>
  <si>
    <t>张彩兰</t>
  </si>
  <si>
    <t>王圣凯</t>
  </si>
  <si>
    <t>吴永专</t>
  </si>
  <si>
    <t>胡晓娟</t>
  </si>
  <si>
    <t>陈元飞</t>
  </si>
  <si>
    <t>陈虹</t>
  </si>
  <si>
    <t>马宇杰</t>
  </si>
  <si>
    <t>陈彩玉</t>
  </si>
  <si>
    <t>柯行苗</t>
  </si>
  <si>
    <t>莫冠雄</t>
  </si>
  <si>
    <t>吴金梅</t>
  </si>
  <si>
    <t>韩梦妮</t>
  </si>
  <si>
    <t>胡宇辰</t>
  </si>
  <si>
    <t>张福雅</t>
  </si>
  <si>
    <t>王雪</t>
  </si>
  <si>
    <t>吴琼</t>
  </si>
  <si>
    <t>胡萌栖</t>
  </si>
  <si>
    <t>文翠</t>
  </si>
  <si>
    <t>郭金萍</t>
  </si>
  <si>
    <t>王冰冰</t>
  </si>
  <si>
    <t>李孔向</t>
  </si>
  <si>
    <t>张开菊</t>
  </si>
  <si>
    <t>梁梦婷</t>
  </si>
  <si>
    <t>吴新秀</t>
  </si>
  <si>
    <t>逄金辰</t>
  </si>
  <si>
    <t>文椿</t>
  </si>
  <si>
    <t>曾珍娜</t>
  </si>
  <si>
    <t>陈秀选</t>
  </si>
  <si>
    <t>陈豪兵</t>
  </si>
  <si>
    <t>符燕燕</t>
  </si>
  <si>
    <t>邢维源</t>
  </si>
  <si>
    <t>陈秋菊</t>
  </si>
  <si>
    <t>韦名诏</t>
  </si>
  <si>
    <t>邓程俊</t>
  </si>
  <si>
    <t>许小娜</t>
  </si>
  <si>
    <t>赵宇</t>
  </si>
  <si>
    <t>方喜揽</t>
  </si>
  <si>
    <t>李谷雨</t>
  </si>
  <si>
    <t>李莎</t>
  </si>
  <si>
    <t>洪丽比</t>
  </si>
  <si>
    <t>沈婕</t>
  </si>
  <si>
    <t>潘侨</t>
  </si>
  <si>
    <t>孙翠霞</t>
  </si>
  <si>
    <t>陈巧花</t>
  </si>
  <si>
    <t>孙嘉伟</t>
  </si>
  <si>
    <t>翁明慧</t>
  </si>
  <si>
    <t>郑方方</t>
  </si>
  <si>
    <t>黄子怡</t>
  </si>
  <si>
    <t>符小英</t>
  </si>
  <si>
    <t>邱明璐</t>
  </si>
  <si>
    <t>吴华烨</t>
  </si>
  <si>
    <t>刘红</t>
  </si>
  <si>
    <t>曾秀菊</t>
  </si>
  <si>
    <t>李民轩</t>
  </si>
  <si>
    <t>赵开朝</t>
  </si>
  <si>
    <t>文金静</t>
  </si>
  <si>
    <t>杨应碧</t>
  </si>
  <si>
    <t>肖宇轩</t>
  </si>
  <si>
    <t>林德育</t>
  </si>
  <si>
    <t>徐蕾</t>
  </si>
  <si>
    <t>张沛</t>
  </si>
  <si>
    <t>吴绵杰</t>
  </si>
  <si>
    <t>黄杏丁</t>
  </si>
  <si>
    <t>刘莹慧</t>
  </si>
  <si>
    <t>王小山</t>
  </si>
  <si>
    <t>张雨云</t>
  </si>
  <si>
    <t>王慧香</t>
  </si>
  <si>
    <t>刘叶媛</t>
  </si>
  <si>
    <t>吴泽瑾</t>
  </si>
  <si>
    <t>谭静洁</t>
  </si>
  <si>
    <t>杨洋</t>
  </si>
  <si>
    <t>洪书华</t>
  </si>
  <si>
    <t>吴清菡</t>
  </si>
  <si>
    <t>宋春鸽</t>
  </si>
  <si>
    <t>赵思宇</t>
  </si>
  <si>
    <t>葛庆汝</t>
  </si>
  <si>
    <t>杨佳静</t>
  </si>
  <si>
    <t>赵华友</t>
  </si>
  <si>
    <t>周祝蝶</t>
  </si>
  <si>
    <t>王玉萍</t>
  </si>
  <si>
    <t>吴贻成</t>
  </si>
  <si>
    <t>黄卓行</t>
  </si>
  <si>
    <t>洪梅</t>
  </si>
  <si>
    <t>程小燕</t>
  </si>
  <si>
    <t>惠文博</t>
  </si>
  <si>
    <t>王曼瑾</t>
  </si>
  <si>
    <t>陈堂兵</t>
  </si>
  <si>
    <t>董长熙</t>
  </si>
  <si>
    <t>黄国玲</t>
  </si>
  <si>
    <t>符文意</t>
  </si>
  <si>
    <t>骆文静</t>
  </si>
  <si>
    <t>孙静</t>
  </si>
  <si>
    <t>文聚玉</t>
  </si>
  <si>
    <t>洪冬玮</t>
  </si>
  <si>
    <t>张启明</t>
  </si>
  <si>
    <t>桂成红</t>
  </si>
  <si>
    <t>刘星月</t>
  </si>
  <si>
    <t>陈欣欣</t>
  </si>
  <si>
    <t>朱赫</t>
  </si>
  <si>
    <t>刘桂美</t>
  </si>
  <si>
    <t>覃艳虹</t>
  </si>
  <si>
    <t>杨娇</t>
  </si>
  <si>
    <t>黄雅铃</t>
  </si>
  <si>
    <t>吴慧敏</t>
  </si>
  <si>
    <t>李经纪</t>
  </si>
  <si>
    <t>符芷怡</t>
  </si>
  <si>
    <t>陈家文</t>
  </si>
  <si>
    <t>陈雪莲</t>
  </si>
  <si>
    <t>黄慧玲</t>
  </si>
  <si>
    <t>韩絮</t>
  </si>
  <si>
    <t>宣金镒</t>
  </si>
  <si>
    <t>董林杰</t>
  </si>
  <si>
    <t>桂芳</t>
  </si>
  <si>
    <t>谢溢媚</t>
  </si>
  <si>
    <t>周子琦</t>
  </si>
  <si>
    <t>温小宁</t>
  </si>
  <si>
    <t>王艺</t>
  </si>
  <si>
    <t>李杰丞</t>
  </si>
  <si>
    <t>王妙凝</t>
  </si>
  <si>
    <t>王康育</t>
  </si>
  <si>
    <t>马燕飞</t>
  </si>
  <si>
    <t>张爱</t>
  </si>
  <si>
    <t>巫家源</t>
  </si>
  <si>
    <t>高佩玲</t>
  </si>
  <si>
    <t>麦树巴</t>
  </si>
  <si>
    <t>王运</t>
  </si>
  <si>
    <t>骆媛彩</t>
  </si>
  <si>
    <t>方晨露</t>
  </si>
  <si>
    <t>靳晓玉</t>
  </si>
  <si>
    <t>黎丽娟</t>
  </si>
  <si>
    <t>王淑娜</t>
  </si>
  <si>
    <t>王正香</t>
  </si>
  <si>
    <t>吴小慧</t>
  </si>
  <si>
    <t>张红红</t>
  </si>
  <si>
    <t>王娟</t>
  </si>
  <si>
    <t>李炳友</t>
  </si>
  <si>
    <t>杨菁菁</t>
  </si>
  <si>
    <t>孙丽玲</t>
  </si>
  <si>
    <t>林永虹</t>
  </si>
  <si>
    <t>林婷婷</t>
  </si>
  <si>
    <t>雷兰芳</t>
  </si>
  <si>
    <t>冯梁炳</t>
  </si>
  <si>
    <t>钟碧灵</t>
  </si>
  <si>
    <t>梁宝文</t>
  </si>
  <si>
    <t>杨永萍</t>
  </si>
  <si>
    <t>杨英乔</t>
  </si>
  <si>
    <t>孙艺菲</t>
  </si>
  <si>
    <t>陈真宝</t>
  </si>
  <si>
    <t>金婉馨</t>
  </si>
  <si>
    <t>符秋丹</t>
  </si>
  <si>
    <t>吴雯</t>
  </si>
  <si>
    <t>丑梦诗</t>
  </si>
  <si>
    <t>谭美翠</t>
  </si>
  <si>
    <t>雷妃</t>
  </si>
  <si>
    <t>张东莹</t>
  </si>
  <si>
    <t>张华卓</t>
  </si>
  <si>
    <t>黄和蕾</t>
  </si>
  <si>
    <t>黎炳彤</t>
  </si>
  <si>
    <t>劳启芳</t>
  </si>
  <si>
    <t>靳雁琳</t>
  </si>
  <si>
    <t>郑智莹</t>
  </si>
  <si>
    <t>罗才漾</t>
  </si>
  <si>
    <t>毛一娜</t>
  </si>
  <si>
    <t>刘映</t>
  </si>
  <si>
    <t>李兰花</t>
  </si>
  <si>
    <t>袁道萃</t>
  </si>
  <si>
    <t>郑芸芸</t>
  </si>
  <si>
    <t>黄春满</t>
  </si>
  <si>
    <t>王词林</t>
  </si>
  <si>
    <t>钟珍珍</t>
  </si>
  <si>
    <t>曾祥铭</t>
  </si>
  <si>
    <t>刘德利</t>
  </si>
  <si>
    <t>王清秀</t>
  </si>
  <si>
    <t>李佳星</t>
  </si>
  <si>
    <t>李开娜</t>
  </si>
  <si>
    <t>林欣欣</t>
  </si>
  <si>
    <t>陈莉</t>
  </si>
  <si>
    <t>邢莉莉</t>
  </si>
  <si>
    <t>梁承教</t>
  </si>
  <si>
    <t>张成艳</t>
  </si>
  <si>
    <t>符大林</t>
  </si>
  <si>
    <t>姜楠</t>
  </si>
  <si>
    <t>邢莎</t>
  </si>
  <si>
    <t>王韦月</t>
  </si>
  <si>
    <t>谢雅芳</t>
  </si>
  <si>
    <t>刘敏</t>
  </si>
  <si>
    <t>何舒颖</t>
  </si>
  <si>
    <t>李景棠</t>
  </si>
  <si>
    <t>陈玉洁</t>
  </si>
  <si>
    <t>邓静</t>
  </si>
  <si>
    <t>马滢</t>
  </si>
  <si>
    <t>宋春娇</t>
  </si>
  <si>
    <t>王小丽</t>
  </si>
  <si>
    <t>段丽芳</t>
  </si>
  <si>
    <t>邱梦慧</t>
  </si>
  <si>
    <t>杨莹</t>
  </si>
  <si>
    <t>黎炳俊</t>
  </si>
  <si>
    <t>林平</t>
  </si>
  <si>
    <t>陈珏源</t>
  </si>
  <si>
    <t>黄晓倩</t>
  </si>
  <si>
    <t>张益梅</t>
  </si>
  <si>
    <t>吴美霖</t>
  </si>
  <si>
    <t>杜晶晶</t>
  </si>
  <si>
    <t>何婉媚</t>
  </si>
  <si>
    <t>陈雨朦</t>
  </si>
  <si>
    <t>陈莉金</t>
  </si>
  <si>
    <t>黄章敏</t>
  </si>
  <si>
    <t>刘莲妹</t>
  </si>
  <si>
    <t>饶小惠</t>
  </si>
  <si>
    <t>欧小琼</t>
  </si>
  <si>
    <t>羊英荣</t>
  </si>
  <si>
    <t>苏芳愉</t>
  </si>
  <si>
    <t>林道远</t>
  </si>
  <si>
    <t>李杰燕</t>
  </si>
  <si>
    <t>苏光日</t>
  </si>
  <si>
    <t>徐梦思</t>
  </si>
  <si>
    <t>陈红日</t>
  </si>
  <si>
    <t>符丽莎</t>
  </si>
  <si>
    <t>吴秋丽</t>
  </si>
  <si>
    <t>符海情</t>
  </si>
  <si>
    <t>唐丹梅</t>
  </si>
  <si>
    <t>张菲</t>
  </si>
  <si>
    <t>杨宛霖</t>
  </si>
  <si>
    <t>王梦</t>
  </si>
  <si>
    <t>林本璐</t>
  </si>
  <si>
    <t>罗玖玟</t>
  </si>
  <si>
    <t>许如梅</t>
  </si>
  <si>
    <t>符蓉</t>
  </si>
  <si>
    <t>吴坤良</t>
  </si>
  <si>
    <t>陈杨飘</t>
  </si>
  <si>
    <t>薛贤彩</t>
  </si>
  <si>
    <t>樊菲</t>
  </si>
  <si>
    <t>李茂运</t>
  </si>
  <si>
    <t>冼恩禄</t>
  </si>
  <si>
    <t>曾娜</t>
  </si>
  <si>
    <t>张仲武</t>
  </si>
  <si>
    <t>尚雨韩</t>
  </si>
  <si>
    <t>陈映苗</t>
  </si>
  <si>
    <t>韩金博</t>
  </si>
  <si>
    <t>钟所龄</t>
  </si>
  <si>
    <t>刘腊妹</t>
  </si>
  <si>
    <t>李雨璇</t>
  </si>
  <si>
    <t>陈朝恋</t>
  </si>
  <si>
    <t>邢贞莹</t>
  </si>
  <si>
    <t>曾惠</t>
  </si>
  <si>
    <t>客文慧</t>
  </si>
  <si>
    <t>谢昭彦</t>
  </si>
  <si>
    <t>陈文倩</t>
  </si>
  <si>
    <t>梁蒴</t>
  </si>
  <si>
    <t>禹嘉琪</t>
  </si>
  <si>
    <t>李振妃</t>
  </si>
  <si>
    <t>陈东霞</t>
  </si>
  <si>
    <t>秦明蓉</t>
  </si>
  <si>
    <t>梁俏雨</t>
  </si>
  <si>
    <t>郭芝</t>
  </si>
  <si>
    <t>谢雯</t>
  </si>
  <si>
    <t>符煜晨</t>
  </si>
  <si>
    <t>周兴强</t>
  </si>
  <si>
    <t>薛晓笛</t>
  </si>
  <si>
    <t>赵欣欣</t>
  </si>
  <si>
    <t>倪海青</t>
  </si>
  <si>
    <t>王润叶</t>
  </si>
  <si>
    <t>符家峰</t>
  </si>
  <si>
    <t>谢爱娜</t>
  </si>
  <si>
    <t>吉少岩</t>
  </si>
  <si>
    <t>谢彬彬</t>
  </si>
  <si>
    <t>李卉</t>
  </si>
  <si>
    <t>符月桂</t>
  </si>
  <si>
    <t>曹嘉航</t>
  </si>
  <si>
    <t>孙周琳</t>
  </si>
  <si>
    <t>吕萌</t>
  </si>
  <si>
    <t>李泽萌</t>
  </si>
  <si>
    <t>王小香</t>
  </si>
  <si>
    <t>林鑫</t>
  </si>
  <si>
    <t>张翌琳</t>
  </si>
  <si>
    <t>张孟瑶</t>
  </si>
  <si>
    <t>赵元霖</t>
  </si>
  <si>
    <t>吴欣欣</t>
  </si>
  <si>
    <t>韩小亮</t>
  </si>
  <si>
    <t>陈星玉</t>
  </si>
  <si>
    <t>云文辉</t>
  </si>
  <si>
    <t>严日光</t>
  </si>
  <si>
    <t>黎燕</t>
  </si>
  <si>
    <t>许治青</t>
  </si>
  <si>
    <t>关蒂莲</t>
  </si>
  <si>
    <t>王丹</t>
  </si>
  <si>
    <t>张雪</t>
  </si>
  <si>
    <t>吴翠雨</t>
  </si>
  <si>
    <t>吴亚静</t>
  </si>
  <si>
    <t>程雯</t>
  </si>
  <si>
    <t>黄智坚</t>
  </si>
  <si>
    <t>方阳</t>
  </si>
  <si>
    <t>王振</t>
  </si>
  <si>
    <t>王毅然</t>
  </si>
  <si>
    <t>邓红佳</t>
  </si>
  <si>
    <t>洪艳艳</t>
  </si>
  <si>
    <t>朱乔滟</t>
  </si>
  <si>
    <t>屠丹丹</t>
  </si>
  <si>
    <t>黄红英</t>
  </si>
  <si>
    <t>黄斐</t>
  </si>
  <si>
    <t>杨媛</t>
  </si>
  <si>
    <t>吴亚琴</t>
  </si>
  <si>
    <t>王淑玲</t>
  </si>
  <si>
    <t>张碧云</t>
  </si>
  <si>
    <t>齐真</t>
  </si>
  <si>
    <t>陈秋萍</t>
  </si>
  <si>
    <t>王梦娜</t>
  </si>
  <si>
    <t>林硕</t>
  </si>
  <si>
    <t>王秋叶</t>
  </si>
  <si>
    <t>郭琪颖</t>
  </si>
  <si>
    <t>吴静桂</t>
  </si>
  <si>
    <t>王广业</t>
  </si>
  <si>
    <t>李茂蕊</t>
  </si>
  <si>
    <t>王莉婵</t>
  </si>
  <si>
    <t>符兰爱</t>
  </si>
  <si>
    <t>李齐魏</t>
  </si>
  <si>
    <t>梁志颖</t>
  </si>
  <si>
    <t>谭万银</t>
  </si>
  <si>
    <t>林芳金</t>
  </si>
  <si>
    <t>刘安然</t>
  </si>
  <si>
    <t>夏琦</t>
  </si>
  <si>
    <t>王范</t>
  </si>
  <si>
    <t>王江燕</t>
  </si>
  <si>
    <t>吉训赛</t>
  </si>
  <si>
    <t>温淑岚</t>
  </si>
  <si>
    <t>张海彬</t>
  </si>
  <si>
    <t>李恬恬</t>
  </si>
  <si>
    <t>牛涛涛</t>
  </si>
  <si>
    <t>吕义晴</t>
  </si>
  <si>
    <t>陈元冲</t>
  </si>
  <si>
    <t>黄金美</t>
  </si>
  <si>
    <t>王子府</t>
  </si>
  <si>
    <t>张居义</t>
  </si>
  <si>
    <t>史才艺</t>
  </si>
  <si>
    <t>符锦桦</t>
  </si>
  <si>
    <t>林家兴</t>
  </si>
  <si>
    <t>傅圆圆</t>
  </si>
  <si>
    <t>符海交</t>
  </si>
  <si>
    <t>徐碧霞</t>
  </si>
  <si>
    <t>何莹</t>
  </si>
  <si>
    <t>王英花</t>
  </si>
  <si>
    <t>韩佳霖</t>
  </si>
  <si>
    <t>王凡</t>
  </si>
  <si>
    <t>王艺诺</t>
  </si>
  <si>
    <t>周声芳</t>
  </si>
  <si>
    <t>王紫薇</t>
  </si>
  <si>
    <t>蔡钧婴</t>
  </si>
  <si>
    <t>文晓燕</t>
  </si>
  <si>
    <t>李亮</t>
  </si>
  <si>
    <t>王小薇</t>
  </si>
  <si>
    <t>温幸子</t>
  </si>
  <si>
    <t>纪小健</t>
  </si>
  <si>
    <t>黄雪艳</t>
  </si>
  <si>
    <t>龚川粮</t>
  </si>
  <si>
    <t>伍曼姬</t>
  </si>
  <si>
    <t>何思蓓</t>
  </si>
  <si>
    <t>丁子明</t>
  </si>
  <si>
    <t>周亭均</t>
  </si>
  <si>
    <t>徐锦雯</t>
  </si>
  <si>
    <t>贾艺</t>
  </si>
  <si>
    <t>李尚真</t>
  </si>
  <si>
    <t>林许荟</t>
  </si>
  <si>
    <t>韩富畴</t>
  </si>
  <si>
    <t>潘娜</t>
  </si>
  <si>
    <t>李佳穗</t>
  </si>
  <si>
    <t>翁琪</t>
  </si>
  <si>
    <t>刘芳君</t>
  </si>
  <si>
    <t>曾子茵</t>
  </si>
  <si>
    <t>黄振</t>
  </si>
  <si>
    <t>周嘉仪</t>
  </si>
  <si>
    <t>冯晓靖</t>
  </si>
  <si>
    <t>文金转</t>
  </si>
  <si>
    <t>周青青</t>
  </si>
  <si>
    <t>王玉叶</t>
  </si>
  <si>
    <t>方寅</t>
  </si>
  <si>
    <t>陈壮丹</t>
  </si>
  <si>
    <t>韦祥宋</t>
  </si>
  <si>
    <t>吉亚认</t>
  </si>
  <si>
    <t>莫苏再</t>
  </si>
  <si>
    <t>甘运来</t>
  </si>
  <si>
    <t>周娜</t>
  </si>
  <si>
    <t>彭婷</t>
  </si>
  <si>
    <t>韦秋羽</t>
  </si>
  <si>
    <t>陈洁</t>
  </si>
  <si>
    <t>陈敏珠</t>
  </si>
  <si>
    <t>王小宾</t>
  </si>
  <si>
    <t>李颖</t>
  </si>
  <si>
    <t>罗雪珍</t>
  </si>
  <si>
    <t>陈丽芽</t>
  </si>
  <si>
    <t>方玲</t>
  </si>
  <si>
    <t>曾常凤</t>
  </si>
  <si>
    <t>王艳莹</t>
  </si>
  <si>
    <t>袁杰</t>
  </si>
  <si>
    <t>方琼粒</t>
  </si>
  <si>
    <t>吕仙妹</t>
  </si>
  <si>
    <t>冼李春</t>
  </si>
  <si>
    <t>高秀凤</t>
  </si>
  <si>
    <t>符志婷</t>
  </si>
  <si>
    <t>韩瑞畴</t>
  </si>
  <si>
    <t>徐晓聘</t>
  </si>
  <si>
    <t>黎培旭</t>
  </si>
  <si>
    <t>王韵蕊</t>
  </si>
  <si>
    <t>陈钰敏</t>
  </si>
  <si>
    <t>王正颖</t>
  </si>
  <si>
    <t>王蛟</t>
  </si>
  <si>
    <t>潘钰</t>
  </si>
  <si>
    <t>蒲英尾</t>
  </si>
  <si>
    <t>黎兴芳</t>
  </si>
  <si>
    <t>唐灵</t>
  </si>
  <si>
    <t>蔡蕾</t>
  </si>
  <si>
    <t>刘雪</t>
  </si>
  <si>
    <t>蔡仁莉</t>
  </si>
  <si>
    <t>朱乃惠</t>
  </si>
  <si>
    <t>符丽雯</t>
  </si>
  <si>
    <t>陈淑妃</t>
  </si>
  <si>
    <t>周小妙</t>
  </si>
  <si>
    <t>李仪</t>
  </si>
  <si>
    <t>黄琬婷</t>
  </si>
  <si>
    <t>吴文秀</t>
  </si>
  <si>
    <t>郑俊涛</t>
  </si>
  <si>
    <t>庄瑾</t>
  </si>
  <si>
    <t>周蕾蕾</t>
  </si>
  <si>
    <t>麦晓苑</t>
  </si>
  <si>
    <t>施伟婷</t>
  </si>
  <si>
    <t>薛健龙</t>
  </si>
  <si>
    <t>王庆丹</t>
  </si>
  <si>
    <t>谭韵国</t>
  </si>
  <si>
    <t>高芳琳</t>
  </si>
  <si>
    <t>于婧杰</t>
  </si>
  <si>
    <t>陈少曼</t>
  </si>
  <si>
    <t>王晓梅</t>
  </si>
  <si>
    <t>邓力豪</t>
  </si>
  <si>
    <t>张为</t>
  </si>
  <si>
    <t>吴永慧</t>
  </si>
  <si>
    <t>李应才</t>
  </si>
  <si>
    <t>吴江文</t>
  </si>
  <si>
    <t>苏诗诗</t>
  </si>
  <si>
    <t>林先柔</t>
  </si>
  <si>
    <t>卢婷</t>
  </si>
  <si>
    <t>陈燕妹</t>
  </si>
  <si>
    <t>王晓芸</t>
  </si>
  <si>
    <t>宋雪琴</t>
  </si>
  <si>
    <t>黄莹莹</t>
  </si>
  <si>
    <t>周儒</t>
  </si>
  <si>
    <t>许小环</t>
  </si>
  <si>
    <t>郑清尔</t>
  </si>
  <si>
    <t>陈丽蓉</t>
  </si>
  <si>
    <t>周惠瑶</t>
  </si>
  <si>
    <t>吴樱霞</t>
  </si>
  <si>
    <t>冯荣莲</t>
  </si>
  <si>
    <t>陈楷涛</t>
  </si>
  <si>
    <t>符月莲</t>
  </si>
  <si>
    <t>李盛康</t>
  </si>
  <si>
    <t>姜永强</t>
  </si>
  <si>
    <t>符柔柔</t>
  </si>
  <si>
    <t>韦盛</t>
  </si>
  <si>
    <t>冯小小</t>
  </si>
  <si>
    <t>王一云</t>
  </si>
  <si>
    <t>金丹花</t>
  </si>
  <si>
    <t>王雪玉</t>
  </si>
  <si>
    <t>苏云</t>
  </si>
  <si>
    <t>冯鸿曼</t>
  </si>
  <si>
    <t>杜金丁</t>
  </si>
  <si>
    <t>王夏盈</t>
  </si>
  <si>
    <t>林怡君</t>
  </si>
  <si>
    <t>罗张芬</t>
  </si>
  <si>
    <t>王佳娜</t>
  </si>
  <si>
    <t>麦娱</t>
  </si>
  <si>
    <t>苏晶晶</t>
  </si>
  <si>
    <t>庄乔云</t>
  </si>
  <si>
    <t>程娟</t>
  </si>
  <si>
    <t>于贺</t>
  </si>
  <si>
    <t>潘杨</t>
  </si>
  <si>
    <t>李芳敏</t>
  </si>
  <si>
    <t>王丹丹</t>
  </si>
  <si>
    <t>苏欣</t>
  </si>
  <si>
    <t>陈文雅</t>
  </si>
  <si>
    <t>蔡孙妹</t>
  </si>
  <si>
    <t>李雅君</t>
  </si>
  <si>
    <t>张佳欣</t>
  </si>
  <si>
    <t>邢文靓</t>
  </si>
  <si>
    <t>李小莉</t>
  </si>
  <si>
    <t>王叶琼</t>
  </si>
  <si>
    <t>徐凡舒</t>
  </si>
  <si>
    <t>符泰</t>
  </si>
  <si>
    <t>许子怡</t>
  </si>
  <si>
    <t>谭向冰</t>
  </si>
  <si>
    <t>蔡雨昕</t>
  </si>
  <si>
    <t>李宜宸</t>
  </si>
  <si>
    <t>胡丽美</t>
  </si>
  <si>
    <t>张嘉琳</t>
  </si>
  <si>
    <t>蔡蕊</t>
  </si>
  <si>
    <t>符大云</t>
  </si>
  <si>
    <t>杨韵</t>
  </si>
  <si>
    <t>曾少玲</t>
  </si>
  <si>
    <t>付林林</t>
  </si>
  <si>
    <t>颜琼香</t>
  </si>
  <si>
    <t>梁咏雅</t>
  </si>
  <si>
    <t>符金标</t>
  </si>
  <si>
    <t>陈石蕾</t>
  </si>
  <si>
    <t>周湘湘</t>
  </si>
  <si>
    <t>杨海超</t>
  </si>
  <si>
    <t>周雯</t>
  </si>
  <si>
    <t>陈演娜</t>
  </si>
  <si>
    <t>纪新杨</t>
  </si>
  <si>
    <t>郑静刚</t>
  </si>
  <si>
    <t>张昕琪</t>
  </si>
  <si>
    <t>王顺妮</t>
  </si>
  <si>
    <t>周中荣</t>
  </si>
  <si>
    <t>祝志辉</t>
  </si>
  <si>
    <t>吉受玲</t>
  </si>
  <si>
    <t>何玉妹</t>
  </si>
  <si>
    <t>符龙衣</t>
  </si>
  <si>
    <t>林月霞</t>
  </si>
  <si>
    <t>林子航</t>
  </si>
  <si>
    <t>郭映</t>
  </si>
  <si>
    <t>李晓玉</t>
  </si>
  <si>
    <t>李倩</t>
  </si>
  <si>
    <t>梁焕春</t>
  </si>
  <si>
    <t>柯静蕊</t>
  </si>
  <si>
    <t>戴俄海</t>
  </si>
  <si>
    <t>高令泓</t>
  </si>
  <si>
    <t>房晚晴</t>
  </si>
  <si>
    <t>李维玲</t>
  </si>
  <si>
    <t>康斐涵</t>
  </si>
  <si>
    <t>罗小恋</t>
  </si>
  <si>
    <t>詹宗洁</t>
  </si>
  <si>
    <t>郭乃坤</t>
  </si>
  <si>
    <t>傅娇曼</t>
  </si>
  <si>
    <t>王露露</t>
  </si>
  <si>
    <t>任卓</t>
  </si>
  <si>
    <t>王如妹</t>
  </si>
  <si>
    <t>王秀宇</t>
  </si>
  <si>
    <t>唐世问</t>
  </si>
  <si>
    <t>陈文娇</t>
  </si>
  <si>
    <t>唐丽萍</t>
  </si>
  <si>
    <t>黎容吕</t>
  </si>
  <si>
    <t>辜民富</t>
  </si>
  <si>
    <t>符慧敏</t>
  </si>
  <si>
    <t>莫冰</t>
  </si>
  <si>
    <t>田星燕</t>
  </si>
  <si>
    <t>陈雅琪</t>
  </si>
  <si>
    <t>罗丛青</t>
  </si>
  <si>
    <t>吉才红</t>
  </si>
  <si>
    <t>罗婷婷</t>
  </si>
  <si>
    <t>蔡春梅</t>
  </si>
  <si>
    <t>颜红</t>
  </si>
  <si>
    <t>李悦</t>
  </si>
  <si>
    <t>张玉凤</t>
  </si>
  <si>
    <t>黎学霁</t>
  </si>
  <si>
    <t>胡恺睿</t>
  </si>
  <si>
    <t>吉训哲</t>
  </si>
  <si>
    <t>王如</t>
  </si>
  <si>
    <t>吴莲菊</t>
  </si>
  <si>
    <t>陈秀女</t>
  </si>
  <si>
    <t>黄书琪</t>
  </si>
  <si>
    <t>钟丽</t>
  </si>
  <si>
    <t>黄爱</t>
  </si>
  <si>
    <t>王荣</t>
  </si>
  <si>
    <t>李既威</t>
  </si>
  <si>
    <t>杜梅桂</t>
  </si>
  <si>
    <t>钟国威</t>
  </si>
  <si>
    <t>王启秀</t>
  </si>
  <si>
    <t>徐彤</t>
  </si>
  <si>
    <t>蔡选昆</t>
  </si>
  <si>
    <t>张映</t>
  </si>
  <si>
    <t>黄娱纯</t>
  </si>
  <si>
    <t>符谷丽</t>
  </si>
  <si>
    <t>陈俊宏</t>
  </si>
  <si>
    <t>张玥</t>
  </si>
  <si>
    <t>肖剑</t>
  </si>
  <si>
    <t>吕岩松</t>
  </si>
  <si>
    <t>曾露</t>
  </si>
  <si>
    <t>吴慧心</t>
  </si>
  <si>
    <t>羊萍</t>
  </si>
  <si>
    <t>陈静莹</t>
  </si>
  <si>
    <t>韩谢英</t>
  </si>
  <si>
    <t>范璐</t>
  </si>
  <si>
    <t>陈夏丹</t>
  </si>
  <si>
    <t>唐成璐</t>
  </si>
  <si>
    <t>陈冰</t>
  </si>
  <si>
    <t>张天洁</t>
  </si>
  <si>
    <t>方文翔</t>
  </si>
  <si>
    <t>黄华艳</t>
  </si>
  <si>
    <t>黄晓庆</t>
  </si>
  <si>
    <t>陈至荣</t>
  </si>
  <si>
    <t>高明</t>
  </si>
  <si>
    <t>吴婷</t>
  </si>
  <si>
    <t>符淑平</t>
  </si>
  <si>
    <t>杜炜</t>
  </si>
  <si>
    <t>王烨</t>
  </si>
  <si>
    <t>蔡兰</t>
  </si>
  <si>
    <t>符丽云</t>
  </si>
  <si>
    <t>陈舒逸</t>
  </si>
  <si>
    <t>颜如玉</t>
  </si>
  <si>
    <t>符荣珍</t>
  </si>
  <si>
    <t>丁乐于</t>
  </si>
  <si>
    <t>郑思琪</t>
  </si>
  <si>
    <t>何佳惠</t>
  </si>
  <si>
    <t>许红豆</t>
  </si>
  <si>
    <t>符若平</t>
  </si>
  <si>
    <t>林仙慧</t>
  </si>
  <si>
    <t>尹燕梅</t>
  </si>
  <si>
    <t>陈欣莹</t>
  </si>
  <si>
    <t>林红香</t>
  </si>
  <si>
    <t>陈阳亮</t>
  </si>
  <si>
    <t>王会影</t>
  </si>
  <si>
    <t>黎俊诗</t>
  </si>
  <si>
    <t>黄晓宁</t>
  </si>
  <si>
    <t>王芳婷</t>
  </si>
  <si>
    <t>陈露露</t>
  </si>
  <si>
    <t>王亚</t>
  </si>
  <si>
    <t>吉训玉</t>
  </si>
  <si>
    <t>叶心意</t>
  </si>
  <si>
    <t>曾文</t>
  </si>
  <si>
    <t>李青青</t>
  </si>
  <si>
    <t>刘桃桃</t>
  </si>
  <si>
    <t>林美婵</t>
  </si>
  <si>
    <t>符严心</t>
  </si>
  <si>
    <t>洪琳婷</t>
  </si>
  <si>
    <t>裴荣悦</t>
  </si>
  <si>
    <t>赵婆爱</t>
  </si>
  <si>
    <t>邢维佳</t>
  </si>
  <si>
    <t>吴佳倩</t>
  </si>
  <si>
    <t>云秋皓</t>
  </si>
  <si>
    <t>郑宗浩</t>
  </si>
  <si>
    <t>吴周钰</t>
  </si>
  <si>
    <t>黄清雨</t>
  </si>
  <si>
    <t>林名宝</t>
  </si>
  <si>
    <t>陈桂银</t>
  </si>
  <si>
    <t>王一萍</t>
  </si>
  <si>
    <t>杨慧</t>
  </si>
  <si>
    <t>陈艺</t>
  </si>
  <si>
    <t>唐闻华</t>
  </si>
  <si>
    <t>梅秀兰</t>
  </si>
  <si>
    <t>翁陈鑫</t>
  </si>
  <si>
    <t>姚春妙</t>
  </si>
  <si>
    <t>林嘉琪</t>
  </si>
  <si>
    <t>杨迪淇</t>
  </si>
  <si>
    <t>冯显巍</t>
  </si>
  <si>
    <t>符彩莲</t>
  </si>
  <si>
    <t>黄丹</t>
  </si>
  <si>
    <t>许福梅</t>
  </si>
  <si>
    <t>李云锋</t>
  </si>
  <si>
    <t>吴小燕</t>
  </si>
  <si>
    <t>王露曼</t>
  </si>
  <si>
    <t>赵阳</t>
  </si>
  <si>
    <t>吴礼秋</t>
  </si>
  <si>
    <t>翁晓娟</t>
  </si>
  <si>
    <t>林佟佟</t>
  </si>
  <si>
    <t>李开浩</t>
  </si>
  <si>
    <t>符梅燕</t>
  </si>
  <si>
    <t>卢春玲</t>
  </si>
  <si>
    <t>林俏</t>
  </si>
  <si>
    <t>李柏颖</t>
  </si>
  <si>
    <t>冉媱</t>
  </si>
  <si>
    <t>姜黎茹</t>
  </si>
  <si>
    <t>林叶如萍</t>
  </si>
  <si>
    <t>何华桃</t>
  </si>
  <si>
    <t>纪新珍</t>
  </si>
  <si>
    <t>左海聪</t>
  </si>
  <si>
    <t>吴菊妍</t>
  </si>
  <si>
    <t>陈丽梦</t>
  </si>
  <si>
    <t>赵崇岳</t>
  </si>
  <si>
    <t>王海云</t>
  </si>
  <si>
    <t>王菲</t>
  </si>
  <si>
    <t>陈同宽</t>
  </si>
  <si>
    <t>梁雅晴</t>
  </si>
  <si>
    <t>邢维娜</t>
  </si>
  <si>
    <t>李秋</t>
  </si>
  <si>
    <t>冯泽敏</t>
  </si>
  <si>
    <t>赵子龙</t>
  </si>
  <si>
    <t>张晗嫣</t>
  </si>
  <si>
    <t>赵志霖</t>
  </si>
  <si>
    <t>符梅爱</t>
  </si>
  <si>
    <t>林芯如</t>
  </si>
  <si>
    <t>颜谷芝</t>
  </si>
  <si>
    <t>黄镜澄</t>
  </si>
  <si>
    <t>符启燕</t>
  </si>
  <si>
    <t>吴怡</t>
  </si>
  <si>
    <t>夏小雨</t>
  </si>
  <si>
    <t>卢拜翁</t>
  </si>
  <si>
    <t>杨鸿婷</t>
  </si>
  <si>
    <t>黎贵荣</t>
  </si>
  <si>
    <t>彭夏芳</t>
  </si>
  <si>
    <t>陈琪琪</t>
  </si>
  <si>
    <t>卢燕</t>
  </si>
  <si>
    <t>许森煜</t>
  </si>
  <si>
    <t>黄锦涛</t>
  </si>
  <si>
    <t>冼金宝</t>
  </si>
  <si>
    <t>王芷灵</t>
  </si>
  <si>
    <t>田一秀</t>
  </si>
  <si>
    <t>黄尹阁</t>
  </si>
  <si>
    <t>张斯沁</t>
  </si>
  <si>
    <t>符有音</t>
  </si>
  <si>
    <t>林倩柳</t>
  </si>
  <si>
    <t>符文慧</t>
  </si>
  <si>
    <t>李君</t>
  </si>
  <si>
    <t>李雨婷</t>
  </si>
  <si>
    <t>董塞均</t>
  </si>
  <si>
    <t>陈姣姣</t>
  </si>
  <si>
    <t>李雨欣</t>
  </si>
  <si>
    <t>曾浦峰</t>
  </si>
  <si>
    <t>梁珊萍</t>
  </si>
  <si>
    <t>零敏达</t>
  </si>
  <si>
    <t>吴多珍</t>
  </si>
  <si>
    <t>卢瑞美</t>
  </si>
  <si>
    <t>黄小群</t>
  </si>
  <si>
    <t>杨凌惠</t>
  </si>
  <si>
    <t>吴婷婷</t>
  </si>
  <si>
    <t>曾蕙</t>
  </si>
  <si>
    <t>陈玉女</t>
  </si>
  <si>
    <t>王田</t>
  </si>
  <si>
    <t>王晓妮</t>
  </si>
  <si>
    <t>邓明珠</t>
  </si>
  <si>
    <t>王雅芳</t>
  </si>
  <si>
    <t>张蕊</t>
  </si>
  <si>
    <t>陈辉映</t>
  </si>
  <si>
    <t>杨贞</t>
  </si>
  <si>
    <t>冯宝婧</t>
  </si>
  <si>
    <t>谢玉婷</t>
  </si>
  <si>
    <t>邹丹妮</t>
  </si>
  <si>
    <t>郭盼</t>
  </si>
  <si>
    <t>严焕连</t>
  </si>
  <si>
    <t>吴健萍</t>
  </si>
  <si>
    <t>林仕丽</t>
  </si>
  <si>
    <t>陈泽芳</t>
  </si>
  <si>
    <t>邢禧玥</t>
  </si>
  <si>
    <t>王苏然</t>
  </si>
  <si>
    <t>王春晓</t>
  </si>
  <si>
    <t>马爽</t>
  </si>
  <si>
    <t>张海虹</t>
  </si>
  <si>
    <t>吴荣茵</t>
  </si>
  <si>
    <t>王蕾</t>
  </si>
  <si>
    <t>谭慧</t>
  </si>
  <si>
    <t>覃钰童</t>
  </si>
  <si>
    <t>陈艳冰</t>
  </si>
  <si>
    <t>符春英</t>
  </si>
  <si>
    <t>王诗妍</t>
  </si>
  <si>
    <t>张志壹</t>
  </si>
  <si>
    <t>袁美冲</t>
  </si>
  <si>
    <t>刘翠</t>
  </si>
  <si>
    <t>陈艺婷</t>
  </si>
  <si>
    <t>王正秋</t>
  </si>
  <si>
    <t>符霜豪</t>
  </si>
  <si>
    <t>王鼎</t>
  </si>
  <si>
    <t>黄秋瑜</t>
  </si>
  <si>
    <t>王艳丽</t>
  </si>
  <si>
    <t>王小礼</t>
  </si>
  <si>
    <t>罗佳灵</t>
  </si>
  <si>
    <t>魏国斌</t>
  </si>
  <si>
    <t>仝三岩</t>
  </si>
  <si>
    <t>郑日月</t>
  </si>
  <si>
    <t>黄雪琴</t>
  </si>
  <si>
    <t>许靖</t>
  </si>
  <si>
    <t>符美影</t>
  </si>
  <si>
    <t>刘妹</t>
  </si>
  <si>
    <t>林诗国</t>
  </si>
  <si>
    <t>杜向瑜</t>
  </si>
  <si>
    <t>刘健</t>
  </si>
  <si>
    <t>刘洋</t>
  </si>
  <si>
    <t>李青榕</t>
  </si>
  <si>
    <t>林丽婷</t>
  </si>
  <si>
    <t>张蕾</t>
  </si>
  <si>
    <t>陈丹丽</t>
  </si>
  <si>
    <t>郑溪源</t>
  </si>
  <si>
    <t>羊秋香</t>
  </si>
  <si>
    <t>曾桃英</t>
  </si>
  <si>
    <t>祝林怡</t>
  </si>
  <si>
    <t>王冲</t>
  </si>
  <si>
    <t>彭金梅</t>
  </si>
  <si>
    <t>陈清婷</t>
  </si>
  <si>
    <t>王崇力</t>
  </si>
  <si>
    <t>张聪</t>
  </si>
  <si>
    <t>陈文婧</t>
  </si>
  <si>
    <t>林娅</t>
  </si>
  <si>
    <t>陈道飞</t>
  </si>
  <si>
    <t>李倩倩</t>
  </si>
  <si>
    <t>何童逸</t>
  </si>
  <si>
    <t>陈应间</t>
  </si>
  <si>
    <t>符永环</t>
  </si>
  <si>
    <t>陈南</t>
  </si>
  <si>
    <t>吴海花</t>
  </si>
  <si>
    <t>莫金月</t>
  </si>
  <si>
    <t>袁钟义</t>
  </si>
  <si>
    <t>赵春月</t>
  </si>
  <si>
    <t>黎佩玉</t>
  </si>
  <si>
    <t>吴育芬</t>
  </si>
  <si>
    <t>符杏燕</t>
  </si>
  <si>
    <t>王清清</t>
  </si>
  <si>
    <t xml:space="preserve"> 曾君慧</t>
  </si>
  <si>
    <t>王鑫花</t>
  </si>
  <si>
    <t>潘凌瑜</t>
  </si>
  <si>
    <t>魏蒙</t>
  </si>
  <si>
    <t>黄芬芬</t>
  </si>
  <si>
    <t>丁珊珊</t>
  </si>
  <si>
    <t>王红钰</t>
  </si>
  <si>
    <t>吴文岚</t>
  </si>
  <si>
    <t>王柔婷</t>
  </si>
  <si>
    <t>许晶晶</t>
  </si>
  <si>
    <t>钟琳</t>
  </si>
  <si>
    <t>蔡泽慧</t>
  </si>
  <si>
    <t>李红霞</t>
  </si>
  <si>
    <t>史文苗</t>
  </si>
  <si>
    <t>千佳琦</t>
  </si>
  <si>
    <t>李玥</t>
  </si>
  <si>
    <t>徐楚绚</t>
  </si>
  <si>
    <t>刘艺</t>
  </si>
  <si>
    <t>何熳颖</t>
  </si>
  <si>
    <t>李玉伟</t>
  </si>
  <si>
    <t>唐子得</t>
  </si>
  <si>
    <t>王梅</t>
  </si>
  <si>
    <t>陈亚香</t>
  </si>
  <si>
    <t>王珊</t>
  </si>
  <si>
    <t>温莉</t>
  </si>
  <si>
    <t>符莲花</t>
  </si>
  <si>
    <t>钱俏君</t>
  </si>
  <si>
    <t>吴金玉</t>
  </si>
  <si>
    <t>曾静姣</t>
  </si>
  <si>
    <t>庞小梅</t>
  </si>
  <si>
    <t>庄雪芬</t>
  </si>
  <si>
    <t>林妍</t>
  </si>
  <si>
    <t>植晓倩</t>
  </si>
  <si>
    <t>刘长新</t>
  </si>
  <si>
    <t>符晶妹</t>
  </si>
  <si>
    <t>罗心灵</t>
  </si>
  <si>
    <t>黄海漾</t>
  </si>
  <si>
    <t>王芸</t>
  </si>
  <si>
    <t>周慧江</t>
  </si>
  <si>
    <t>符兰秀</t>
  </si>
  <si>
    <t>熊怡</t>
  </si>
  <si>
    <t>陈益诚</t>
  </si>
  <si>
    <t>罗族燕</t>
  </si>
  <si>
    <t>曾慧攀</t>
  </si>
  <si>
    <t>符发翠</t>
  </si>
  <si>
    <t>胡容连</t>
  </si>
  <si>
    <t>龚历</t>
  </si>
  <si>
    <t>符安健</t>
  </si>
  <si>
    <t>陈龙划</t>
  </si>
  <si>
    <t>符含萍</t>
  </si>
  <si>
    <t>陈贤娃</t>
  </si>
  <si>
    <t>李琼妃</t>
  </si>
  <si>
    <t>林玉花</t>
  </si>
  <si>
    <t>王嘉麟</t>
  </si>
  <si>
    <t>孙昌帝</t>
  </si>
  <si>
    <t>谢京汝</t>
  </si>
  <si>
    <t>陈海涯</t>
  </si>
  <si>
    <t>简敏华</t>
  </si>
  <si>
    <t>吴朋穗</t>
  </si>
  <si>
    <t>王秋燕</t>
  </si>
  <si>
    <t>符冰</t>
  </si>
  <si>
    <t>胡帅颖</t>
  </si>
  <si>
    <t>王圣浩</t>
  </si>
  <si>
    <t>陈雪</t>
  </si>
  <si>
    <t>张明玉</t>
  </si>
  <si>
    <t>肖克</t>
  </si>
  <si>
    <t>邢玉雅</t>
  </si>
  <si>
    <t>陈丽颖</t>
  </si>
  <si>
    <t>卢莹</t>
  </si>
  <si>
    <t>邵安祺</t>
  </si>
  <si>
    <t>沈韵佳</t>
  </si>
  <si>
    <t>韩诗愉</t>
  </si>
  <si>
    <t>黄俊怡</t>
  </si>
  <si>
    <t>王海珠</t>
  </si>
  <si>
    <t>黄艳</t>
  </si>
  <si>
    <t>王雅婷</t>
  </si>
  <si>
    <t>李延昕</t>
  </si>
  <si>
    <t>王晓晨</t>
  </si>
  <si>
    <t>吴元妮</t>
  </si>
  <si>
    <t>唐春霞</t>
  </si>
  <si>
    <t>袁艳敏</t>
  </si>
  <si>
    <t>王萍萍</t>
  </si>
  <si>
    <t>谭柳怡</t>
  </si>
  <si>
    <t>李昕芃</t>
  </si>
  <si>
    <t>陈扬</t>
  </si>
  <si>
    <t>王志顺</t>
  </si>
  <si>
    <t>梁钦</t>
  </si>
  <si>
    <t>廖美连</t>
  </si>
  <si>
    <t>吴晓霞</t>
  </si>
  <si>
    <t>梁宁</t>
  </si>
  <si>
    <t>邓集</t>
  </si>
  <si>
    <t>颜怡仔</t>
  </si>
  <si>
    <t>王妍晶</t>
  </si>
  <si>
    <t>黄贝贝</t>
  </si>
  <si>
    <t>王一蓓</t>
  </si>
  <si>
    <t>钟尊姝</t>
  </si>
  <si>
    <t>王瑞影</t>
  </si>
  <si>
    <t>符裕珍</t>
  </si>
  <si>
    <t>吴梦艳</t>
  </si>
  <si>
    <t>张芯苡</t>
  </si>
  <si>
    <t>邢明彦</t>
  </si>
  <si>
    <t>吉世雕</t>
  </si>
  <si>
    <t>伍卫红</t>
  </si>
  <si>
    <t>冯华</t>
  </si>
  <si>
    <t>岑云玲</t>
  </si>
  <si>
    <t>吴必涵</t>
  </si>
  <si>
    <t>张克松</t>
  </si>
  <si>
    <t>张馨华</t>
  </si>
  <si>
    <t>唐小微</t>
  </si>
  <si>
    <t>龙琪慧</t>
  </si>
  <si>
    <t>徐有连</t>
  </si>
  <si>
    <t>苏娇雪</t>
  </si>
  <si>
    <t>李三梅</t>
  </si>
  <si>
    <t>张艳</t>
  </si>
  <si>
    <t>胡晏齐</t>
  </si>
  <si>
    <t>周金运</t>
  </si>
  <si>
    <t>杜慧琴</t>
  </si>
  <si>
    <t>董龙根</t>
  </si>
  <si>
    <t>张雯仪</t>
  </si>
  <si>
    <t>谭慧艳</t>
  </si>
  <si>
    <t>肖雨琪</t>
  </si>
  <si>
    <t>钟惠</t>
  </si>
  <si>
    <t>冼夏云</t>
  </si>
  <si>
    <t>黎晓晴</t>
  </si>
  <si>
    <t>郭真锐</t>
  </si>
  <si>
    <t>周小静</t>
  </si>
  <si>
    <t>周可维</t>
  </si>
  <si>
    <t>符海东</t>
  </si>
  <si>
    <t>钟丽怡</t>
  </si>
  <si>
    <t>符晓颖</t>
  </si>
  <si>
    <t>林雪</t>
  </si>
  <si>
    <t>曾颖莹</t>
  </si>
  <si>
    <t>陈杰</t>
  </si>
  <si>
    <t>王清媚</t>
  </si>
  <si>
    <t>符晓艳</t>
  </si>
  <si>
    <t>唐茹薇</t>
  </si>
  <si>
    <t>符昌晴</t>
  </si>
  <si>
    <t>吴思思</t>
  </si>
  <si>
    <t>陈琪</t>
  </si>
  <si>
    <t>陈肇敏</t>
  </si>
  <si>
    <t>苑旺</t>
  </si>
  <si>
    <t>谢毕猷</t>
  </si>
  <si>
    <t>吉秀丹</t>
  </si>
  <si>
    <t>邢可欣</t>
  </si>
  <si>
    <t>金扬清</t>
  </si>
  <si>
    <t>陈彦君</t>
  </si>
  <si>
    <t>李想</t>
  </si>
  <si>
    <t>石秀慧</t>
  </si>
  <si>
    <t>王钰</t>
  </si>
  <si>
    <t>麦璇</t>
  </si>
  <si>
    <t>潘秋芳</t>
  </si>
  <si>
    <t>满晓雪</t>
  </si>
  <si>
    <t>林芳</t>
  </si>
  <si>
    <t>林苗苗</t>
  </si>
  <si>
    <t>田丽婷</t>
  </si>
  <si>
    <t>赵文洁</t>
  </si>
  <si>
    <t>翁敏</t>
  </si>
  <si>
    <t>张红蝶</t>
  </si>
  <si>
    <t>王乙颖</t>
  </si>
  <si>
    <t>杜小慧</t>
  </si>
  <si>
    <t>蒲姿帆</t>
  </si>
  <si>
    <t>吴青青</t>
  </si>
  <si>
    <t>罗杨</t>
  </si>
  <si>
    <t>麦雪虹</t>
  </si>
  <si>
    <t>黄瑞怡</t>
  </si>
  <si>
    <t>郭小霞</t>
  </si>
  <si>
    <t>陈青云</t>
  </si>
  <si>
    <t>杨其德</t>
  </si>
  <si>
    <t>何丽鸾</t>
  </si>
  <si>
    <t>吴俊芳</t>
  </si>
  <si>
    <t>黎秀妃</t>
  </si>
  <si>
    <t>莫绪琪</t>
  </si>
  <si>
    <t>王美静</t>
  </si>
  <si>
    <t>符亚祥</t>
  </si>
  <si>
    <t>丁兰冠</t>
  </si>
  <si>
    <t>林瑜</t>
  </si>
  <si>
    <t>石渭渭</t>
  </si>
  <si>
    <t>佟欣航</t>
  </si>
  <si>
    <t>陈婧</t>
  </si>
  <si>
    <t>卢红月</t>
  </si>
  <si>
    <t>唐倩晓</t>
  </si>
  <si>
    <t>郑童文</t>
  </si>
  <si>
    <t>李运玲</t>
  </si>
  <si>
    <t>吉芳瑶</t>
  </si>
  <si>
    <t>卓欣</t>
  </si>
  <si>
    <t>孙昌婷</t>
  </si>
  <si>
    <t>邢影</t>
  </si>
  <si>
    <t>关义侠</t>
  </si>
  <si>
    <t>李玉芬</t>
  </si>
  <si>
    <t>符娉</t>
  </si>
  <si>
    <t>刘如苗</t>
  </si>
  <si>
    <t>崔淑娟</t>
  </si>
  <si>
    <t>陈妙雅</t>
  </si>
  <si>
    <t>李慧婷</t>
  </si>
  <si>
    <t>莫玲玲</t>
  </si>
  <si>
    <t>王湍翔</t>
  </si>
  <si>
    <t>何诗琴</t>
  </si>
  <si>
    <t>张慧萱</t>
  </si>
  <si>
    <t>黎海敏</t>
  </si>
  <si>
    <t>谷阳</t>
  </si>
  <si>
    <t>文常瑾</t>
  </si>
  <si>
    <t>陈宝怡</t>
  </si>
  <si>
    <t>彭程</t>
  </si>
  <si>
    <t>黄青山</t>
  </si>
  <si>
    <t>黄宗璘</t>
  </si>
  <si>
    <t>孙佳怡</t>
  </si>
  <si>
    <t>王怡婧</t>
  </si>
  <si>
    <t>周翠</t>
  </si>
  <si>
    <t>林雯虹</t>
  </si>
  <si>
    <t>王金玳</t>
  </si>
  <si>
    <t>高富荣</t>
  </si>
  <si>
    <t>许建</t>
  </si>
  <si>
    <t>麦志欢</t>
  </si>
  <si>
    <t>黎慧欣</t>
  </si>
  <si>
    <t>梅海英</t>
  </si>
  <si>
    <t>陈莹</t>
  </si>
  <si>
    <t>吴剑玲</t>
  </si>
  <si>
    <t>由星月</t>
  </si>
  <si>
    <t>黄慧婷</t>
  </si>
  <si>
    <t>吉春列</t>
  </si>
  <si>
    <t>杨学明</t>
  </si>
  <si>
    <t>陈恋</t>
  </si>
  <si>
    <t>李翠竹</t>
  </si>
  <si>
    <t>刘丹</t>
  </si>
  <si>
    <t>纪欢桐</t>
  </si>
  <si>
    <t>崔水珠</t>
  </si>
  <si>
    <t>张进珠</t>
  </si>
  <si>
    <t>刘延果</t>
  </si>
  <si>
    <t>李娜</t>
  </si>
  <si>
    <t>王淑莺</t>
  </si>
  <si>
    <t>符年丽</t>
  </si>
  <si>
    <t>冉桂艳</t>
  </si>
  <si>
    <t>李开超</t>
  </si>
  <si>
    <t>黄春竹</t>
  </si>
  <si>
    <t>李函颖</t>
  </si>
  <si>
    <t>吴姝漫</t>
  </si>
  <si>
    <t>蔡小艺</t>
  </si>
  <si>
    <t>郑瑜</t>
  </si>
  <si>
    <t>羊菊花</t>
  </si>
  <si>
    <t>王萍</t>
  </si>
  <si>
    <t>周欣</t>
  </si>
  <si>
    <t>文丽苗</t>
  </si>
  <si>
    <t>郭雨缘</t>
  </si>
  <si>
    <t>吴为川</t>
  </si>
  <si>
    <t>林娇艳</t>
  </si>
  <si>
    <t>吕精妹</t>
  </si>
  <si>
    <t>符传信</t>
  </si>
  <si>
    <t>林壹茹</t>
  </si>
  <si>
    <t>顾思琪</t>
  </si>
  <si>
    <t>符小妹</t>
  </si>
  <si>
    <t>梁亚云</t>
  </si>
  <si>
    <t>王育全</t>
  </si>
  <si>
    <t>符宝兰</t>
  </si>
  <si>
    <t>洪小冰</t>
  </si>
  <si>
    <t>王位双</t>
  </si>
  <si>
    <t>李英改</t>
  </si>
  <si>
    <t>柯彦萍</t>
  </si>
  <si>
    <t>李磊</t>
  </si>
  <si>
    <t>李晓燕</t>
  </si>
  <si>
    <t>刘静</t>
  </si>
  <si>
    <t>谭光亮</t>
  </si>
  <si>
    <t>张旭秀</t>
  </si>
  <si>
    <t>张含瑜</t>
  </si>
  <si>
    <t>陈晓玲</t>
  </si>
  <si>
    <t>王祺定</t>
  </si>
  <si>
    <t>陈妮</t>
  </si>
  <si>
    <t>李小亚</t>
  </si>
  <si>
    <t>戴恩娜</t>
  </si>
  <si>
    <t>曹红梅</t>
  </si>
  <si>
    <t>苏海钊</t>
  </si>
  <si>
    <t>陈丽</t>
  </si>
  <si>
    <t>符冬雪</t>
  </si>
  <si>
    <t>杨土英</t>
  </si>
  <si>
    <t>许海燕</t>
  </si>
  <si>
    <t>吴丽怡</t>
  </si>
  <si>
    <t>王秀娟</t>
  </si>
  <si>
    <t>蔡玉恋</t>
  </si>
  <si>
    <t>温薇</t>
  </si>
  <si>
    <t>郑惠香</t>
  </si>
  <si>
    <t>李东</t>
  </si>
  <si>
    <t>陈一水</t>
  </si>
  <si>
    <t>陈洵贞</t>
  </si>
  <si>
    <t>张泽浩</t>
  </si>
  <si>
    <t>许文彬</t>
  </si>
  <si>
    <t>符菊祯</t>
  </si>
  <si>
    <t>许紫昕</t>
  </si>
  <si>
    <t>陈绪桃</t>
  </si>
  <si>
    <t>盛亚强</t>
  </si>
  <si>
    <t>陈秋茹</t>
  </si>
  <si>
    <t>王梦婕</t>
  </si>
  <si>
    <t>李秋桦</t>
  </si>
  <si>
    <t>李诺</t>
  </si>
  <si>
    <t>董德玲</t>
  </si>
  <si>
    <t>赵家佳</t>
  </si>
  <si>
    <t>陈林婧</t>
  </si>
  <si>
    <t>吴金香</t>
  </si>
  <si>
    <t>徐秋梅</t>
  </si>
  <si>
    <t>符心怡</t>
  </si>
  <si>
    <t>邱燕敏</t>
  </si>
  <si>
    <t>杨娇惠</t>
  </si>
  <si>
    <t>蔡如双</t>
  </si>
  <si>
    <t>杨珊</t>
  </si>
  <si>
    <t>吴彩云</t>
  </si>
  <si>
    <t>吴子娇</t>
  </si>
  <si>
    <t>游子涵</t>
  </si>
  <si>
    <t>廖栩</t>
  </si>
  <si>
    <t>谭彩玲</t>
  </si>
  <si>
    <t>吴月</t>
  </si>
  <si>
    <t>孙秀英</t>
  </si>
  <si>
    <t>覃集文</t>
  </si>
  <si>
    <t>陈琳</t>
  </si>
  <si>
    <t>谢琼芬</t>
  </si>
  <si>
    <t>何娇芳</t>
  </si>
  <si>
    <t>杨欢浓</t>
  </si>
  <si>
    <t>段晨晨</t>
  </si>
  <si>
    <t>陈慧妤</t>
  </si>
  <si>
    <t>齐星星</t>
  </si>
  <si>
    <t>刘楚琦</t>
  </si>
  <si>
    <t>刘子轩</t>
  </si>
  <si>
    <t>王彤立</t>
  </si>
  <si>
    <t>李美莹</t>
  </si>
  <si>
    <t>钟小雪</t>
  </si>
  <si>
    <t>洪德大</t>
  </si>
  <si>
    <t>关盈盈</t>
  </si>
  <si>
    <t>李咏琪</t>
  </si>
  <si>
    <t>黄海烁</t>
  </si>
  <si>
    <t>王晨</t>
  </si>
  <si>
    <t>黄正</t>
  </si>
  <si>
    <t>邢福丹</t>
  </si>
  <si>
    <t>陈锦春</t>
  </si>
  <si>
    <t>钟文彩</t>
  </si>
  <si>
    <t>陈桂秀</t>
  </si>
  <si>
    <t>蔡兴铸</t>
  </si>
  <si>
    <t>吴金琼</t>
  </si>
  <si>
    <t>符传雄</t>
  </si>
  <si>
    <t>林秋焕</t>
  </si>
  <si>
    <t>周玉龙</t>
  </si>
  <si>
    <t>陈丽娇</t>
  </si>
  <si>
    <t>王苇茹</t>
  </si>
  <si>
    <t>陈盈希</t>
  </si>
  <si>
    <t>陈楚琪</t>
  </si>
  <si>
    <t>孙映茹</t>
  </si>
  <si>
    <t>王秀琼</t>
  </si>
  <si>
    <t>黄雨萱</t>
  </si>
  <si>
    <t>陈彩琴</t>
  </si>
  <si>
    <t>林尤妹</t>
  </si>
  <si>
    <t>邓丹妮</t>
  </si>
  <si>
    <t>王少珍</t>
  </si>
  <si>
    <t>李文婷</t>
  </si>
  <si>
    <t>邓颖慧</t>
  </si>
  <si>
    <t>朱春蕾</t>
  </si>
  <si>
    <t>叶庆辉</t>
  </si>
  <si>
    <t>张春娇</t>
  </si>
  <si>
    <t>牛丽逢</t>
  </si>
  <si>
    <t>卢秋玉</t>
  </si>
  <si>
    <t>熊成雪</t>
  </si>
  <si>
    <t>何秒思</t>
  </si>
  <si>
    <t>廖一臻</t>
  </si>
  <si>
    <t>吴多坚</t>
  </si>
  <si>
    <t>胡倩倩</t>
  </si>
  <si>
    <t>张庭祯</t>
  </si>
  <si>
    <t>符文倩</t>
  </si>
  <si>
    <t>王吉娇</t>
  </si>
  <si>
    <t>杨成义</t>
  </si>
  <si>
    <t>周艳红</t>
  </si>
  <si>
    <t>黄春颖</t>
  </si>
  <si>
    <t>羊冬盖</t>
  </si>
  <si>
    <t>吴丽格</t>
  </si>
  <si>
    <t>周诗穆</t>
  </si>
  <si>
    <t>杨菲</t>
  </si>
  <si>
    <t>麦艳菲</t>
  </si>
  <si>
    <t>苏秋同</t>
  </si>
  <si>
    <t>王秋玲</t>
  </si>
  <si>
    <t>吴兴晶</t>
  </si>
  <si>
    <t>郑雯婷</t>
  </si>
  <si>
    <t>王晨阳</t>
  </si>
  <si>
    <t>林晓虹</t>
  </si>
  <si>
    <t>许治铭</t>
  </si>
  <si>
    <t>覃妹玲</t>
  </si>
  <si>
    <t>韩锦琪</t>
  </si>
  <si>
    <t>许美姗</t>
  </si>
  <si>
    <t>邓小转</t>
  </si>
  <si>
    <t>陈德楼</t>
  </si>
  <si>
    <t>蔡晓仪</t>
  </si>
  <si>
    <t>鄢洁</t>
  </si>
  <si>
    <t>张华丽</t>
  </si>
  <si>
    <t>王丽梨</t>
  </si>
  <si>
    <t>唐王椿</t>
  </si>
  <si>
    <t>蒙钟政</t>
  </si>
  <si>
    <t>梁昌爽</t>
  </si>
  <si>
    <t>王雪翠</t>
  </si>
  <si>
    <t>麦琼方</t>
  </si>
  <si>
    <t>林嫔嫔</t>
  </si>
  <si>
    <t>陈思琦</t>
  </si>
  <si>
    <t>曾静怡</t>
  </si>
  <si>
    <t>谭冬婷</t>
  </si>
  <si>
    <t>余思思</t>
  </si>
  <si>
    <t>吴淑果</t>
  </si>
  <si>
    <t>付家辉</t>
  </si>
  <si>
    <t>陈美菊</t>
  </si>
  <si>
    <t>郑秋红</t>
  </si>
  <si>
    <t>莫昌华</t>
  </si>
  <si>
    <t>王蔓</t>
  </si>
  <si>
    <t>唐妮</t>
  </si>
  <si>
    <t>陈璟</t>
  </si>
  <si>
    <t>黎婷</t>
  </si>
  <si>
    <t>尹子笑</t>
  </si>
  <si>
    <t>朱文静</t>
  </si>
  <si>
    <t>吴启璋</t>
  </si>
  <si>
    <t>陈子倩</t>
  </si>
  <si>
    <t>李豫茜</t>
  </si>
  <si>
    <t>云琼雨</t>
  </si>
  <si>
    <t>陈姝聪</t>
  </si>
  <si>
    <t>佟享泽</t>
  </si>
  <si>
    <t>苏德雄</t>
  </si>
  <si>
    <t>郭虹妙</t>
  </si>
  <si>
    <t>安康</t>
  </si>
  <si>
    <t>钟良妃</t>
  </si>
  <si>
    <t>黄英灵</t>
  </si>
  <si>
    <t>文秀琪</t>
  </si>
  <si>
    <t>王蓝笛</t>
  </si>
  <si>
    <t>覃玉祺</t>
  </si>
  <si>
    <t>施秀盈</t>
  </si>
  <si>
    <t>姜珊</t>
  </si>
  <si>
    <t>谢玲玲</t>
  </si>
  <si>
    <t>杨蓝英</t>
  </si>
  <si>
    <t>洪真荣</t>
  </si>
  <si>
    <t>韩嫚</t>
  </si>
  <si>
    <t>杨传瑜</t>
  </si>
  <si>
    <t>张甜甜</t>
  </si>
  <si>
    <t>刘春玉</t>
  </si>
  <si>
    <t>毛冬花</t>
  </si>
  <si>
    <t>陈微</t>
  </si>
  <si>
    <t>羊儒林</t>
  </si>
  <si>
    <t>彭思思</t>
  </si>
  <si>
    <t>许杏菊</t>
  </si>
  <si>
    <t>陈琼</t>
  </si>
  <si>
    <t>陈婆转</t>
  </si>
  <si>
    <t>文昌雨</t>
  </si>
  <si>
    <t>邢增婷</t>
  </si>
  <si>
    <t>梁永丽</t>
  </si>
  <si>
    <t>顾红</t>
  </si>
  <si>
    <t>林栩卉</t>
  </si>
  <si>
    <t>王丽丹</t>
  </si>
  <si>
    <t>周文澜</t>
  </si>
  <si>
    <t>吉尼斯</t>
  </si>
  <si>
    <t>郑乔尹</t>
  </si>
  <si>
    <t>王海璐</t>
  </si>
  <si>
    <t>曾显花</t>
  </si>
  <si>
    <t>刘菲菲</t>
  </si>
  <si>
    <t>邓子易</t>
  </si>
  <si>
    <t>唐思蕊</t>
  </si>
  <si>
    <t>王春洪</t>
  </si>
  <si>
    <t>徐莉萍</t>
  </si>
  <si>
    <t>陈玉花</t>
  </si>
  <si>
    <t>羊多枫</t>
  </si>
  <si>
    <t>邢儒娟</t>
  </si>
  <si>
    <t>韩诗</t>
  </si>
  <si>
    <t>李华姣</t>
  </si>
  <si>
    <t>吴亚珊</t>
  </si>
  <si>
    <t>李静</t>
  </si>
  <si>
    <t>韩金雯</t>
  </si>
  <si>
    <t>韦安迪</t>
  </si>
  <si>
    <t>黄春</t>
  </si>
  <si>
    <t>郑佳妮</t>
  </si>
  <si>
    <t>金友缘</t>
  </si>
  <si>
    <t>王华丽</t>
  </si>
  <si>
    <t>徐雨杨</t>
  </si>
  <si>
    <t>陈小婷</t>
  </si>
  <si>
    <t>王莹莹</t>
  </si>
  <si>
    <t>周子琳</t>
  </si>
  <si>
    <t>李珊珊</t>
  </si>
  <si>
    <t>刘涛</t>
  </si>
  <si>
    <t>卢哨</t>
  </si>
  <si>
    <t>符雅雲</t>
  </si>
  <si>
    <t>邱海燕</t>
  </si>
  <si>
    <t>林尤平</t>
  </si>
  <si>
    <t>邹丹</t>
  </si>
  <si>
    <t>陈晓珍</t>
  </si>
  <si>
    <t>卢慧慧</t>
  </si>
  <si>
    <t>张恋恋</t>
  </si>
  <si>
    <t>庄茵茵</t>
  </si>
  <si>
    <t>张娟娇</t>
  </si>
  <si>
    <t>符镕麟</t>
  </si>
  <si>
    <t>蔡本清</t>
  </si>
  <si>
    <t>陈玉兰</t>
  </si>
  <si>
    <t>姜莹</t>
  </si>
  <si>
    <t>冯红霞</t>
  </si>
  <si>
    <t>易秋萍</t>
  </si>
  <si>
    <t>殷艳雅</t>
  </si>
  <si>
    <t>李岸</t>
  </si>
  <si>
    <t>郑庆玲</t>
  </si>
  <si>
    <t>王婉媛</t>
  </si>
  <si>
    <t>吴沁文</t>
  </si>
  <si>
    <t>王安松</t>
  </si>
  <si>
    <t>李小晶</t>
  </si>
  <si>
    <t>邹燕</t>
  </si>
  <si>
    <t>李美婷</t>
  </si>
  <si>
    <t>陆华英</t>
  </si>
  <si>
    <t>苏惠雪</t>
  </si>
  <si>
    <t>王其珍</t>
  </si>
  <si>
    <t>王修金</t>
  </si>
  <si>
    <t>陈龄美</t>
  </si>
  <si>
    <t>罗仙</t>
  </si>
  <si>
    <t>蔡得波</t>
  </si>
  <si>
    <t>范秋翠</t>
  </si>
  <si>
    <t>陈秀玲</t>
  </si>
  <si>
    <t>罗秋雨</t>
  </si>
  <si>
    <t>吴玢妍</t>
  </si>
  <si>
    <t>李姗姗</t>
  </si>
  <si>
    <t>黄朝华</t>
  </si>
  <si>
    <t>章书遥</t>
  </si>
  <si>
    <t>王凤丹</t>
  </si>
  <si>
    <t>岳山</t>
  </si>
  <si>
    <t>任慧莹</t>
  </si>
  <si>
    <t>谢棠</t>
  </si>
  <si>
    <t>李鸿英</t>
  </si>
  <si>
    <t>许莹</t>
  </si>
  <si>
    <t>温欣</t>
  </si>
  <si>
    <t>刘诗欣</t>
  </si>
  <si>
    <t>王雪媚</t>
  </si>
  <si>
    <t>潘圣艳</t>
  </si>
  <si>
    <t>张愉</t>
  </si>
  <si>
    <t>陈慧虹</t>
  </si>
  <si>
    <t>黄少茹</t>
  </si>
  <si>
    <t>张亮</t>
  </si>
  <si>
    <t>王瑞旧</t>
  </si>
  <si>
    <t>黄洁南</t>
  </si>
  <si>
    <t>邱名巧</t>
  </si>
  <si>
    <t>黄有莲</t>
  </si>
  <si>
    <t>杜丽青</t>
  </si>
  <si>
    <t>李伟杰</t>
  </si>
  <si>
    <t>徐如萍</t>
  </si>
  <si>
    <t>冯慧</t>
  </si>
  <si>
    <t>赵建敏</t>
  </si>
  <si>
    <t xml:space="preserve">刘露瑶 </t>
  </si>
  <si>
    <t>孙乐能</t>
  </si>
  <si>
    <t>李泽章</t>
  </si>
  <si>
    <t>王乙燕</t>
  </si>
  <si>
    <t>陈小莉</t>
  </si>
  <si>
    <t>陈青霞</t>
  </si>
  <si>
    <t>石慧</t>
  </si>
  <si>
    <t>云茵茵</t>
  </si>
  <si>
    <t>郑英英</t>
  </si>
  <si>
    <t>邱安妮</t>
  </si>
  <si>
    <t>许佳引</t>
  </si>
  <si>
    <t>叶诗萍</t>
  </si>
  <si>
    <t>张灵</t>
  </si>
  <si>
    <t>苏妃妃</t>
  </si>
  <si>
    <t>夏江鹏</t>
  </si>
  <si>
    <t>高菁</t>
  </si>
  <si>
    <t>张榆悦</t>
  </si>
  <si>
    <t>王彩霞</t>
  </si>
  <si>
    <t>林巧巧</t>
  </si>
  <si>
    <t>陆精</t>
  </si>
  <si>
    <t>周贞廷</t>
  </si>
  <si>
    <t>李珏桦</t>
  </si>
  <si>
    <t>冼芳莹</t>
  </si>
  <si>
    <t>张安琪</t>
  </si>
  <si>
    <t>何林青</t>
  </si>
  <si>
    <t>黄卿</t>
  </si>
  <si>
    <t>蒙怡</t>
  </si>
  <si>
    <t>林明双</t>
  </si>
  <si>
    <t>史丹荟</t>
  </si>
  <si>
    <t>赵恒艺</t>
  </si>
  <si>
    <t>羊成文</t>
  </si>
  <si>
    <t>李慧芳</t>
  </si>
  <si>
    <t>肖楚盈</t>
  </si>
  <si>
    <t>王澜洁</t>
  </si>
  <si>
    <t>朱梦敏</t>
  </si>
  <si>
    <t>王盟懿</t>
  </si>
  <si>
    <t>沈亮</t>
  </si>
  <si>
    <t>冯成睿</t>
  </si>
  <si>
    <t>王选南</t>
  </si>
  <si>
    <t>彭宜</t>
  </si>
  <si>
    <t>王海瑜</t>
  </si>
  <si>
    <t>余晓梅</t>
  </si>
  <si>
    <t>刘天浩</t>
  </si>
  <si>
    <t>甘璐娜</t>
  </si>
  <si>
    <t>李如妹</t>
  </si>
  <si>
    <t>吴凤琰</t>
  </si>
  <si>
    <t>罗亚妹</t>
  </si>
  <si>
    <t>林文生</t>
  </si>
  <si>
    <t>隋曼媛</t>
  </si>
  <si>
    <t>何南</t>
  </si>
  <si>
    <t>梁梦云</t>
  </si>
  <si>
    <t>钱海琼</t>
  </si>
  <si>
    <t>梁会单</t>
  </si>
  <si>
    <t>邢虹艳</t>
  </si>
  <si>
    <t>符欣怡</t>
  </si>
  <si>
    <t>袁晓倩</t>
  </si>
  <si>
    <t>吴晓莹</t>
  </si>
  <si>
    <t>梁华南</t>
  </si>
  <si>
    <t>梁乃静</t>
  </si>
  <si>
    <t>符秀姑</t>
  </si>
  <si>
    <t>温伯婵</t>
  </si>
  <si>
    <t>林兰宇</t>
  </si>
  <si>
    <t>梁晨</t>
  </si>
  <si>
    <t>崔晓姣</t>
  </si>
  <si>
    <t>罗雪萍</t>
  </si>
  <si>
    <t>张莎莎</t>
  </si>
  <si>
    <t>高唐瑛</t>
  </si>
  <si>
    <t>冯菁菁</t>
  </si>
  <si>
    <t>盘海兰</t>
  </si>
  <si>
    <t>林莹</t>
  </si>
  <si>
    <t>陈啟燕</t>
  </si>
  <si>
    <t>王莹</t>
  </si>
  <si>
    <t>林兰珍</t>
  </si>
  <si>
    <t>李鑫</t>
  </si>
  <si>
    <t>郭明祺</t>
  </si>
  <si>
    <t>唐婕</t>
  </si>
  <si>
    <t>王丽娟</t>
  </si>
  <si>
    <t>李明蔚</t>
  </si>
  <si>
    <t>何振柳</t>
  </si>
  <si>
    <t>冯宣华</t>
  </si>
  <si>
    <t>张佳乐</t>
  </si>
  <si>
    <t>李金凌</t>
  </si>
  <si>
    <t>李洪莉</t>
  </si>
  <si>
    <t>王菁</t>
  </si>
  <si>
    <t>王平岚</t>
  </si>
  <si>
    <t>曾晨</t>
  </si>
  <si>
    <t>尹希悦</t>
  </si>
  <si>
    <t>吴璐璐</t>
  </si>
  <si>
    <t>黄民姣</t>
  </si>
  <si>
    <t>符运玲</t>
  </si>
  <si>
    <t>文新芬</t>
  </si>
  <si>
    <t>姚虹</t>
  </si>
  <si>
    <t>郭佳敏</t>
  </si>
  <si>
    <t>邱丽芳</t>
  </si>
  <si>
    <t>宋涛</t>
  </si>
  <si>
    <t>叶丽</t>
  </si>
  <si>
    <t>曾丽霖</t>
  </si>
  <si>
    <t>王燕婷</t>
  </si>
  <si>
    <t>薛道伟</t>
  </si>
  <si>
    <t>郭思瑶</t>
  </si>
  <si>
    <t>李东政</t>
  </si>
  <si>
    <t>吴少雄</t>
  </si>
  <si>
    <t>王玲女</t>
  </si>
  <si>
    <t>高东慧</t>
  </si>
  <si>
    <t>林丽莎</t>
  </si>
  <si>
    <t>邹素琴</t>
  </si>
  <si>
    <t>蔡小瑜</t>
  </si>
  <si>
    <t>赵成榜</t>
  </si>
  <si>
    <t>龙泽来</t>
  </si>
  <si>
    <t>郑紫盈</t>
  </si>
  <si>
    <t>杨婧</t>
  </si>
  <si>
    <t>符造位</t>
  </si>
  <si>
    <t>符冬婷</t>
  </si>
  <si>
    <t>洪莹</t>
  </si>
  <si>
    <t>周琼玉</t>
  </si>
  <si>
    <t>程樱</t>
  </si>
  <si>
    <t>吕小伟</t>
  </si>
  <si>
    <t>李国柳</t>
  </si>
  <si>
    <t>徐家赣</t>
  </si>
  <si>
    <t>王紫娴</t>
  </si>
  <si>
    <t>符笑琼</t>
  </si>
  <si>
    <t>吴诚悦</t>
  </si>
  <si>
    <t>林福曲</t>
  </si>
  <si>
    <t>林星湖</t>
  </si>
  <si>
    <t>李慧珍</t>
  </si>
  <si>
    <t>鲁晨熙</t>
  </si>
  <si>
    <t>吴婉婷</t>
  </si>
  <si>
    <t>胡婴儿</t>
  </si>
  <si>
    <t>邢雅钤</t>
  </si>
  <si>
    <t>范叶雅</t>
  </si>
  <si>
    <t>郭义妹</t>
  </si>
  <si>
    <t>符缓</t>
  </si>
  <si>
    <t>陈娜</t>
  </si>
  <si>
    <t>孟青</t>
  </si>
  <si>
    <t>李婉婷</t>
  </si>
  <si>
    <t>王崇旭</t>
  </si>
  <si>
    <t>孙显新</t>
  </si>
  <si>
    <t>王苑宇</t>
  </si>
  <si>
    <t>王家宇</t>
  </si>
  <si>
    <t>缪皇儿</t>
  </si>
  <si>
    <t>陈燕菊</t>
  </si>
  <si>
    <t>邢礼贤</t>
  </si>
  <si>
    <t>吴笛源</t>
  </si>
  <si>
    <t>文肖</t>
  </si>
  <si>
    <t>封云</t>
  </si>
  <si>
    <t>陈颖宇</t>
  </si>
  <si>
    <t>张敏</t>
  </si>
  <si>
    <t>唐娇</t>
  </si>
  <si>
    <t>董玲玲</t>
  </si>
  <si>
    <t>何吉花</t>
  </si>
  <si>
    <t>陈心谊</t>
  </si>
  <si>
    <t>岑雅菲</t>
  </si>
  <si>
    <t>陈日东</t>
  </si>
  <si>
    <t>陈梦溪</t>
  </si>
  <si>
    <t>马千慧</t>
  </si>
  <si>
    <t>朱南吉</t>
  </si>
  <si>
    <t>李绣秀</t>
  </si>
  <si>
    <t>王平勇</t>
  </si>
  <si>
    <t>余欣瑶</t>
  </si>
  <si>
    <t>李青丽</t>
  </si>
  <si>
    <t>陈宝南</t>
  </si>
  <si>
    <t>王小媚</t>
  </si>
  <si>
    <t>吴祝金</t>
  </si>
  <si>
    <t>范东永</t>
  </si>
  <si>
    <t>张晓</t>
  </si>
  <si>
    <t>谢梦馨</t>
  </si>
  <si>
    <t>王精华</t>
  </si>
  <si>
    <t>邓秀文</t>
  </si>
  <si>
    <t>文珺</t>
  </si>
  <si>
    <t>周雅琪</t>
  </si>
  <si>
    <t>钟金妹</t>
  </si>
  <si>
    <t>王燕</t>
  </si>
  <si>
    <t>符桂女</t>
  </si>
  <si>
    <t>范译匀</t>
  </si>
  <si>
    <t>李尧</t>
  </si>
  <si>
    <t>程欣</t>
  </si>
  <si>
    <t>吴春苗</t>
  </si>
  <si>
    <t>何青芸</t>
  </si>
  <si>
    <t>郑博雅</t>
  </si>
  <si>
    <t>吴茜茜</t>
  </si>
  <si>
    <t>郭兴升</t>
  </si>
  <si>
    <t>刘家贝</t>
  </si>
  <si>
    <t>贾雪</t>
  </si>
  <si>
    <t>王莉漫</t>
  </si>
  <si>
    <t>陈洪来</t>
  </si>
  <si>
    <t>周淼</t>
  </si>
  <si>
    <t>甘郁灵</t>
  </si>
  <si>
    <t>芦壵丽</t>
  </si>
  <si>
    <t>王妞</t>
  </si>
  <si>
    <t>简燕钧</t>
  </si>
  <si>
    <t>丁海波</t>
  </si>
  <si>
    <t>崔小妹</t>
  </si>
  <si>
    <t>李子熙</t>
  </si>
  <si>
    <t>李婧文</t>
  </si>
  <si>
    <t>吴濡</t>
  </si>
  <si>
    <t>王千姬</t>
  </si>
  <si>
    <t>王小燕</t>
  </si>
  <si>
    <t>梁三弟</t>
  </si>
  <si>
    <t>邓丕东</t>
  </si>
  <si>
    <t>何晓敏</t>
  </si>
  <si>
    <t>江琼瑶</t>
  </si>
  <si>
    <t>祁曼雅</t>
  </si>
  <si>
    <t>颜煜</t>
  </si>
  <si>
    <t>符晓敏</t>
  </si>
  <si>
    <t>马文颖</t>
  </si>
  <si>
    <t>刘洳妍</t>
  </si>
  <si>
    <t>伍甜甜</t>
  </si>
  <si>
    <t>王军欢</t>
  </si>
  <si>
    <t>张馨月</t>
  </si>
  <si>
    <t>符少霞</t>
  </si>
  <si>
    <t>林香</t>
  </si>
  <si>
    <t>郭秀霞</t>
  </si>
  <si>
    <t>李扬</t>
  </si>
  <si>
    <t>蔡慧欣</t>
  </si>
  <si>
    <t>黄宁燕</t>
  </si>
  <si>
    <t>符吉南</t>
  </si>
  <si>
    <t>莫镕蔚</t>
  </si>
  <si>
    <t>莫慧雪</t>
  </si>
  <si>
    <t>符秘豪</t>
  </si>
  <si>
    <t>林志隆</t>
  </si>
  <si>
    <t>李玉梁</t>
  </si>
  <si>
    <t>谭玲玲</t>
  </si>
  <si>
    <t>陈新发</t>
  </si>
  <si>
    <t>文晓慧</t>
  </si>
  <si>
    <t>徐念明</t>
  </si>
  <si>
    <t>梁家龙</t>
  </si>
  <si>
    <t>李彦润</t>
  </si>
  <si>
    <t>王盼盼</t>
  </si>
  <si>
    <t>汤心怡</t>
  </si>
  <si>
    <t>张翔</t>
  </si>
  <si>
    <t>阴佳宸</t>
  </si>
  <si>
    <t>李悦颜</t>
  </si>
  <si>
    <t>徐卉</t>
  </si>
  <si>
    <t>黎芮如</t>
  </si>
  <si>
    <t>刘洁</t>
  </si>
  <si>
    <t>吴雨声</t>
  </si>
  <si>
    <t>郑少玉</t>
  </si>
  <si>
    <t>周焕妹</t>
  </si>
  <si>
    <t>朱奕烹</t>
  </si>
  <si>
    <t>何人亿</t>
  </si>
  <si>
    <t>王哲娜</t>
  </si>
  <si>
    <t>郑史冰</t>
  </si>
  <si>
    <t>薛理乐</t>
  </si>
  <si>
    <t>王小莉</t>
  </si>
  <si>
    <t>梁小洁</t>
  </si>
  <si>
    <t>杨璐</t>
  </si>
  <si>
    <t>伍春花</t>
  </si>
  <si>
    <t>王静</t>
  </si>
  <si>
    <t>王秀娜</t>
  </si>
  <si>
    <t>陈玉婷</t>
  </si>
  <si>
    <t>劳海丽</t>
  </si>
  <si>
    <t>陈依莎</t>
  </si>
  <si>
    <t>郑在裕</t>
  </si>
  <si>
    <t>吴造云</t>
  </si>
  <si>
    <t>陈美妤</t>
  </si>
  <si>
    <t>蔡慧</t>
  </si>
  <si>
    <t>杨芳</t>
  </si>
  <si>
    <t>容信举</t>
  </si>
  <si>
    <t>翁如玉</t>
  </si>
  <si>
    <t>章霖静</t>
  </si>
  <si>
    <t>李秀媚</t>
  </si>
  <si>
    <t>李桦桂</t>
  </si>
  <si>
    <t>胥林爽</t>
  </si>
  <si>
    <t>张莉</t>
  </si>
  <si>
    <t>王亮亮</t>
  </si>
  <si>
    <t>梁真芸</t>
  </si>
  <si>
    <t>许佩汝</t>
  </si>
  <si>
    <t>陈香羽</t>
  </si>
  <si>
    <t>郑远霞</t>
  </si>
  <si>
    <t>符诗芬</t>
  </si>
  <si>
    <t>吴锋</t>
  </si>
  <si>
    <t>高菊先</t>
  </si>
  <si>
    <t>李嘉怡</t>
  </si>
  <si>
    <t>符红霞</t>
  </si>
  <si>
    <t>曹玉丹</t>
  </si>
  <si>
    <t>冀晓潇</t>
  </si>
  <si>
    <t>游土华</t>
  </si>
  <si>
    <t>邓婉靖</t>
  </si>
  <si>
    <t>苏永琪</t>
  </si>
  <si>
    <t>陈慧欣</t>
  </si>
  <si>
    <t>石榆眉</t>
  </si>
  <si>
    <t>王琛</t>
  </si>
  <si>
    <t>黄天慧</t>
  </si>
  <si>
    <t>王丽盈</t>
  </si>
  <si>
    <t>符燕萍</t>
  </si>
  <si>
    <t>梁霞</t>
  </si>
  <si>
    <t>陈奕森</t>
  </si>
  <si>
    <t>周颖</t>
  </si>
  <si>
    <t>王晓慧</t>
  </si>
  <si>
    <t>韦小恋</t>
  </si>
  <si>
    <t>邝春容</t>
  </si>
  <si>
    <t>赵静</t>
  </si>
  <si>
    <t>王霜</t>
  </si>
  <si>
    <t>杨兰芝</t>
  </si>
  <si>
    <t>贺鑫颖</t>
  </si>
  <si>
    <t>李小梅</t>
  </si>
  <si>
    <t>陈燕珠</t>
  </si>
  <si>
    <t>迟明明</t>
  </si>
  <si>
    <t>谢昕然</t>
  </si>
  <si>
    <t>林芊妤</t>
  </si>
  <si>
    <t>苏华志</t>
  </si>
  <si>
    <t>张帅丽</t>
  </si>
  <si>
    <t>蔡南南</t>
  </si>
  <si>
    <t>吴明浚</t>
  </si>
  <si>
    <t>陈荣超</t>
  </si>
  <si>
    <t>陈彩影</t>
  </si>
  <si>
    <t>杨金金</t>
  </si>
  <si>
    <t>陈余英</t>
  </si>
  <si>
    <t>李开霄</t>
  </si>
  <si>
    <t>王家富</t>
  </si>
  <si>
    <t>张瑞萍</t>
  </si>
  <si>
    <t>李佳怡</t>
  </si>
  <si>
    <t>庄煌丹</t>
  </si>
  <si>
    <t>黄玉微</t>
  </si>
  <si>
    <t>李慢晶</t>
  </si>
  <si>
    <t>吴品玲</t>
  </si>
  <si>
    <t>钟仙萱</t>
  </si>
  <si>
    <t>董宇柱</t>
  </si>
  <si>
    <t>符展爱</t>
  </si>
  <si>
    <t>李锦妍</t>
  </si>
  <si>
    <t>王丽</t>
  </si>
  <si>
    <t>符尾女</t>
  </si>
  <si>
    <t>杨清云</t>
  </si>
  <si>
    <t>邓雅青</t>
  </si>
  <si>
    <t>王怡程</t>
  </si>
  <si>
    <t>詹冰</t>
  </si>
  <si>
    <t>吴万霞</t>
  </si>
  <si>
    <t>李秀月</t>
  </si>
  <si>
    <t>周文婷</t>
  </si>
  <si>
    <t>陈玉妹</t>
  </si>
  <si>
    <t>许炳华</t>
  </si>
  <si>
    <t>吴美丹</t>
  </si>
  <si>
    <t>占家豪</t>
  </si>
  <si>
    <t>陈玲玲</t>
  </si>
  <si>
    <t>韦丽琼</t>
  </si>
  <si>
    <t>王小玉</t>
  </si>
  <si>
    <t>周启亮</t>
  </si>
  <si>
    <t>汪小雨</t>
  </si>
  <si>
    <t>莫姜莹</t>
  </si>
  <si>
    <t>向奕遐</t>
  </si>
  <si>
    <t>林彩梅</t>
  </si>
  <si>
    <t>文春霞</t>
  </si>
  <si>
    <t>谭浪</t>
  </si>
  <si>
    <t>韩彩虹</t>
  </si>
  <si>
    <t>何阿暖</t>
  </si>
  <si>
    <t>羊钰婷</t>
  </si>
  <si>
    <t>吴文可</t>
  </si>
  <si>
    <t>吴金萍</t>
  </si>
  <si>
    <t>马小妹</t>
  </si>
  <si>
    <t>陆柳均</t>
  </si>
  <si>
    <t>张美芳</t>
  </si>
  <si>
    <t>黄祥姑</t>
  </si>
  <si>
    <t>杜香娇</t>
  </si>
  <si>
    <t>徐加慧</t>
  </si>
  <si>
    <t>姚甜甜</t>
  </si>
  <si>
    <t>周静静</t>
  </si>
  <si>
    <t>翁瑞冰</t>
  </si>
  <si>
    <t>王青涵</t>
  </si>
  <si>
    <t>薛宇菲</t>
  </si>
  <si>
    <t>王蕃仟</t>
  </si>
  <si>
    <t>张杨莹</t>
  </si>
  <si>
    <t>洪亚伦</t>
  </si>
  <si>
    <t>陈进影</t>
  </si>
  <si>
    <t>张林琳</t>
  </si>
  <si>
    <t>孙井娜</t>
  </si>
  <si>
    <t>翁伊婷</t>
  </si>
  <si>
    <t>冯倩</t>
  </si>
  <si>
    <t>郑威威</t>
  </si>
  <si>
    <t>郑彩云</t>
  </si>
  <si>
    <t>王辉</t>
  </si>
  <si>
    <t>李岸膺</t>
  </si>
  <si>
    <t>徐明月</t>
  </si>
  <si>
    <t>梁晓妹</t>
  </si>
  <si>
    <t>叶经鑫</t>
  </si>
  <si>
    <t>蔡欢欢</t>
  </si>
  <si>
    <t>邹雄</t>
  </si>
  <si>
    <t>李伟</t>
  </si>
  <si>
    <t>羊金香</t>
  </si>
  <si>
    <t>潘东滨</t>
  </si>
  <si>
    <t>许华央</t>
  </si>
  <si>
    <t>李宏悦</t>
  </si>
  <si>
    <t>左林惠</t>
  </si>
  <si>
    <t>张桐</t>
  </si>
  <si>
    <t>符雅意</t>
  </si>
  <si>
    <t>习灿晨</t>
  </si>
  <si>
    <t>唐海丽</t>
  </si>
  <si>
    <t>王素珍</t>
  </si>
  <si>
    <t>林淑萍</t>
  </si>
  <si>
    <t>任淑华</t>
  </si>
  <si>
    <t>周慧强</t>
  </si>
  <si>
    <t>孙小恋</t>
  </si>
  <si>
    <t>焦梦迪</t>
  </si>
  <si>
    <t>刘芳楠</t>
  </si>
  <si>
    <t>杨乃骁</t>
  </si>
  <si>
    <t>王春苗</t>
  </si>
  <si>
    <t>张翠萍</t>
  </si>
  <si>
    <t>王兰心</t>
  </si>
  <si>
    <t>陈晓宇</t>
  </si>
  <si>
    <t>张小琳</t>
  </si>
  <si>
    <t>穆业峰</t>
  </si>
  <si>
    <t>麦笃萍</t>
  </si>
  <si>
    <t>詹道宝</t>
  </si>
  <si>
    <t>江丹丹</t>
  </si>
  <si>
    <t>陈瑞坚</t>
  </si>
  <si>
    <t>何燕婷</t>
  </si>
  <si>
    <t>吴肖红</t>
  </si>
  <si>
    <t>周亚兴</t>
  </si>
  <si>
    <t>陈秀联</t>
  </si>
  <si>
    <t>李蔷</t>
  </si>
  <si>
    <t>祝亚辉</t>
  </si>
  <si>
    <t>梁颖</t>
  </si>
  <si>
    <t>杨月</t>
  </si>
  <si>
    <t>叶君宁</t>
  </si>
  <si>
    <t>石鹏</t>
  </si>
  <si>
    <t>林小丽</t>
  </si>
  <si>
    <t>陈佳丰</t>
  </si>
  <si>
    <t>王英桂</t>
  </si>
  <si>
    <t>李先</t>
  </si>
  <si>
    <t>林柳菁</t>
  </si>
  <si>
    <t>张婷</t>
  </si>
  <si>
    <t>陈秀珍</t>
  </si>
  <si>
    <t>陈婷</t>
  </si>
  <si>
    <t>王晓君</t>
  </si>
  <si>
    <t>吴慧晶</t>
  </si>
  <si>
    <t>李雪</t>
  </si>
  <si>
    <t>吴克毅</t>
  </si>
  <si>
    <t>姚翠菁</t>
  </si>
  <si>
    <t>盘冬妮</t>
  </si>
  <si>
    <t>韩君衍</t>
  </si>
  <si>
    <t>蔡教禧</t>
  </si>
  <si>
    <t>黄海芳</t>
  </si>
  <si>
    <t>陈凤君</t>
  </si>
  <si>
    <t>黄博</t>
  </si>
  <si>
    <t>沈峻棡</t>
  </si>
  <si>
    <t>韦文艺</t>
  </si>
  <si>
    <t>许月丽</t>
  </si>
  <si>
    <t>杨泽宇</t>
  </si>
  <si>
    <t>陈叶倩</t>
  </si>
  <si>
    <t>吴淑芳</t>
  </si>
  <si>
    <t>万江丽</t>
  </si>
  <si>
    <t>曾慧婷</t>
  </si>
  <si>
    <t>周潮敏</t>
  </si>
  <si>
    <t>卢传芬</t>
  </si>
  <si>
    <t>符杞壮</t>
  </si>
  <si>
    <t>何鉴</t>
  </si>
  <si>
    <t>王琴</t>
  </si>
  <si>
    <t>符儿艺</t>
  </si>
  <si>
    <t>麦玉丽</t>
  </si>
  <si>
    <t>郑世伟</t>
  </si>
  <si>
    <t>李正蕊</t>
  </si>
  <si>
    <t>洪新蕊</t>
  </si>
  <si>
    <t>郑丽君</t>
  </si>
  <si>
    <t>冯春蕾</t>
  </si>
  <si>
    <t>许淑纪</t>
  </si>
  <si>
    <t>符桃李</t>
  </si>
  <si>
    <t>周萍</t>
  </si>
  <si>
    <t>吕锡娜</t>
  </si>
  <si>
    <t>何发川</t>
  </si>
  <si>
    <t>周瑶瑶</t>
  </si>
  <si>
    <t>孟璇</t>
  </si>
  <si>
    <t>钟宇</t>
  </si>
  <si>
    <t>覃梦诗</t>
  </si>
  <si>
    <t>徐冯敏</t>
  </si>
  <si>
    <t>吴贤君</t>
  </si>
  <si>
    <t>韩林燕</t>
  </si>
  <si>
    <t>许腾尹</t>
  </si>
  <si>
    <t>麦苗</t>
  </si>
  <si>
    <t>杨学倩</t>
  </si>
  <si>
    <t>许瑞颜</t>
  </si>
  <si>
    <t>王善宇</t>
  </si>
  <si>
    <t>董为丽</t>
  </si>
  <si>
    <t>庄铠嫚</t>
  </si>
  <si>
    <t>梁欣欣</t>
  </si>
  <si>
    <t>岑举芳</t>
  </si>
  <si>
    <t>林师</t>
  </si>
  <si>
    <t>邓俊美</t>
  </si>
  <si>
    <t>陈燕腊</t>
  </si>
  <si>
    <t>潘文茹</t>
  </si>
  <si>
    <t>王瑜</t>
  </si>
  <si>
    <t>蔡小芯</t>
  </si>
  <si>
    <t>郑金华</t>
  </si>
  <si>
    <t>陈鸿文</t>
  </si>
  <si>
    <t>陈宇</t>
  </si>
  <si>
    <t>刘思雨</t>
  </si>
  <si>
    <t>孔香艳</t>
  </si>
  <si>
    <t>李琼霞</t>
  </si>
  <si>
    <t>王丽霞</t>
  </si>
  <si>
    <t>张梦姿</t>
  </si>
  <si>
    <t>朱小芩</t>
  </si>
  <si>
    <t>石萌萌</t>
  </si>
  <si>
    <t>陈振星</t>
  </si>
  <si>
    <t>翁翠燕</t>
  </si>
  <si>
    <t>符雪丹</t>
  </si>
  <si>
    <t>杜才凤</t>
  </si>
  <si>
    <t>周美君</t>
  </si>
  <si>
    <t>黄家耀</t>
  </si>
  <si>
    <t>钟凤佳</t>
  </si>
  <si>
    <t>黄晨宏</t>
  </si>
  <si>
    <t>曹平平</t>
  </si>
  <si>
    <t>林斯</t>
  </si>
  <si>
    <t>符冬露</t>
  </si>
  <si>
    <t>符小芳</t>
  </si>
  <si>
    <t>庄雍钰</t>
  </si>
  <si>
    <t>蒋玉洁</t>
  </si>
  <si>
    <t>高泽琼</t>
  </si>
  <si>
    <t>李诗静</t>
  </si>
  <si>
    <t>李小健</t>
  </si>
  <si>
    <t>王春姗</t>
  </si>
  <si>
    <t>唐海珊</t>
  </si>
  <si>
    <t>常丁丁</t>
  </si>
  <si>
    <t>曾婆玉</t>
  </si>
  <si>
    <t>吴莲花</t>
  </si>
  <si>
    <t>徐月豪</t>
  </si>
  <si>
    <t>陈妹</t>
  </si>
  <si>
    <t>王松荣</t>
  </si>
  <si>
    <t>苏英芳</t>
  </si>
  <si>
    <t>陈炯芳</t>
  </si>
  <si>
    <t>杜盼</t>
  </si>
  <si>
    <t>刘鹏伟</t>
  </si>
  <si>
    <t>郭青柳</t>
  </si>
  <si>
    <t>卜启敏</t>
  </si>
  <si>
    <t>杨虹艳</t>
  </si>
  <si>
    <t>王丽萍</t>
  </si>
  <si>
    <t>蔡夫盛</t>
  </si>
  <si>
    <t>陈华美</t>
  </si>
  <si>
    <t>莫壮勉</t>
  </si>
  <si>
    <t>李冰莹</t>
  </si>
  <si>
    <t>肖金谛</t>
  </si>
  <si>
    <t>苏文玲</t>
  </si>
  <si>
    <t>王艺燕</t>
  </si>
  <si>
    <t>骆美妍</t>
  </si>
  <si>
    <t>孙芳</t>
  </si>
  <si>
    <t>赵瑞华</t>
  </si>
  <si>
    <t>雷雅迪</t>
  </si>
  <si>
    <t>吴春榕</t>
  </si>
  <si>
    <t>王坤</t>
  </si>
  <si>
    <t>王琦璐</t>
  </si>
  <si>
    <t>刘馨语</t>
  </si>
  <si>
    <t>林才总</t>
  </si>
  <si>
    <t>王盈</t>
  </si>
  <si>
    <t>黄幸子</t>
  </si>
  <si>
    <t>李华冰</t>
  </si>
  <si>
    <t>杨裕丽</t>
  </si>
  <si>
    <t>苏婷影</t>
  </si>
  <si>
    <t>吴舒雅</t>
  </si>
  <si>
    <t>张浩瑜</t>
  </si>
  <si>
    <t>陈巧敏</t>
  </si>
  <si>
    <t>羊仙爱</t>
  </si>
  <si>
    <t>林天雄</t>
  </si>
  <si>
    <t>韩宝茹</t>
  </si>
  <si>
    <t>陈静静</t>
  </si>
  <si>
    <t>秦燕怀</t>
  </si>
  <si>
    <t>钱丽云</t>
  </si>
  <si>
    <t>陈木梨</t>
  </si>
  <si>
    <t>谢秋良</t>
  </si>
  <si>
    <t>曾群</t>
  </si>
  <si>
    <t>林成娜</t>
  </si>
  <si>
    <t>韦婷婷</t>
  </si>
  <si>
    <t>黄金燕</t>
  </si>
  <si>
    <t>陈会</t>
  </si>
  <si>
    <t>滕发广</t>
  </si>
  <si>
    <t>黄婷婷</t>
  </si>
  <si>
    <t>王东</t>
  </si>
  <si>
    <t>王虹欢</t>
  </si>
  <si>
    <t>谢晓霞</t>
  </si>
  <si>
    <t>符大树</t>
  </si>
  <si>
    <t>洪三姐</t>
  </si>
  <si>
    <t>谢成花</t>
  </si>
  <si>
    <t>陈方玉</t>
  </si>
  <si>
    <t>陈榆</t>
  </si>
  <si>
    <t>刘莉莉</t>
  </si>
  <si>
    <t>赵婉婷</t>
  </si>
  <si>
    <t>陈钊阳</t>
  </si>
  <si>
    <t>陈庆群</t>
  </si>
  <si>
    <t>吴珍</t>
  </si>
  <si>
    <t>何桂玉</t>
  </si>
  <si>
    <t>吴福慧</t>
  </si>
  <si>
    <t>谢婕妤</t>
  </si>
  <si>
    <t>颜妹燕</t>
  </si>
  <si>
    <t>王雪颖</t>
  </si>
  <si>
    <t>杨秀婷</t>
  </si>
  <si>
    <t>陈珊珊</t>
  </si>
  <si>
    <t>阮冠冰</t>
  </si>
  <si>
    <t>孙雨</t>
  </si>
  <si>
    <t>王培婷</t>
  </si>
  <si>
    <t>陈龙功</t>
  </si>
  <si>
    <t>杨章表</t>
  </si>
  <si>
    <t>冯宇婧</t>
  </si>
  <si>
    <t>郑燕</t>
  </si>
  <si>
    <t>邱春柳</t>
  </si>
  <si>
    <t>吴丽珍</t>
  </si>
  <si>
    <t>江文斌</t>
  </si>
  <si>
    <t>唐小蜓</t>
  </si>
  <si>
    <t>林学桥</t>
  </si>
  <si>
    <t>曾雨馨</t>
  </si>
  <si>
    <t>徐媚</t>
  </si>
  <si>
    <t>钟夏莹</t>
  </si>
  <si>
    <t>赵珂</t>
  </si>
  <si>
    <t>陈洪娇</t>
  </si>
  <si>
    <t>吴银柳</t>
  </si>
  <si>
    <t>王尧莹</t>
  </si>
  <si>
    <t>蔡冰冰</t>
  </si>
  <si>
    <t>陈海莲</t>
  </si>
  <si>
    <t>李官杏</t>
  </si>
  <si>
    <t>曾小花</t>
  </si>
  <si>
    <t>杨立同</t>
  </si>
  <si>
    <t>韩江慧</t>
  </si>
  <si>
    <t>梁瑞</t>
  </si>
  <si>
    <t>蓝平</t>
  </si>
  <si>
    <t>邢明美</t>
  </si>
  <si>
    <t>吴微微</t>
  </si>
  <si>
    <t>卢亚姐</t>
  </si>
  <si>
    <t>杨名杰</t>
  </si>
  <si>
    <t>詹艳艳</t>
  </si>
  <si>
    <t>陈焕敏</t>
  </si>
  <si>
    <t>夏日在</t>
  </si>
  <si>
    <t>陈金春</t>
  </si>
  <si>
    <t>谭德胜</t>
  </si>
  <si>
    <t>唐着阅</t>
  </si>
  <si>
    <t>徐日林</t>
  </si>
  <si>
    <t>王泓然</t>
  </si>
  <si>
    <t>刘盛琼</t>
  </si>
  <si>
    <t>胡雪雯</t>
  </si>
  <si>
    <t>王珏</t>
  </si>
  <si>
    <t>刘虹月</t>
  </si>
  <si>
    <t>文婷</t>
  </si>
  <si>
    <t>宇文瑗</t>
  </si>
  <si>
    <t>杨颖</t>
  </si>
  <si>
    <t>许秋缘</t>
  </si>
  <si>
    <t>王少玉</t>
  </si>
  <si>
    <t>韦晓茹</t>
  </si>
  <si>
    <t>羊丹川</t>
  </si>
  <si>
    <t>肖雅丽</t>
  </si>
  <si>
    <t>于清华</t>
  </si>
  <si>
    <t>陈玉杏</t>
  </si>
  <si>
    <t>张茗可</t>
  </si>
  <si>
    <t>计威威</t>
  </si>
  <si>
    <t>王诗玲</t>
  </si>
  <si>
    <t>尹大春</t>
  </si>
  <si>
    <t>林律杉</t>
  </si>
  <si>
    <t>李欣欣</t>
  </si>
  <si>
    <t>李春玲</t>
  </si>
  <si>
    <t>王碧霞</t>
  </si>
  <si>
    <t>文凤婉</t>
  </si>
  <si>
    <t>罗娜</t>
  </si>
  <si>
    <t>陈夏</t>
  </si>
  <si>
    <t>冯行宏</t>
  </si>
  <si>
    <t>叶大喜</t>
  </si>
  <si>
    <t>方柳宇</t>
  </si>
  <si>
    <t>马丽霞</t>
  </si>
  <si>
    <t>吴清静</t>
  </si>
  <si>
    <t>陈丽强</t>
  </si>
  <si>
    <t>蔡嵘</t>
  </si>
  <si>
    <t>黄颖</t>
  </si>
  <si>
    <t>刘璐</t>
  </si>
  <si>
    <t>胡冰蕊</t>
  </si>
  <si>
    <t>唐传婷</t>
  </si>
  <si>
    <t>符玉婷</t>
  </si>
  <si>
    <t>段燕</t>
  </si>
  <si>
    <t>周缙鸥</t>
  </si>
  <si>
    <t>王天慧</t>
  </si>
  <si>
    <t>刘舒蕾</t>
  </si>
  <si>
    <t>龙晶晶</t>
  </si>
  <si>
    <t>宋艳丽</t>
  </si>
  <si>
    <t>邓云</t>
  </si>
  <si>
    <t>陈泰珍</t>
  </si>
  <si>
    <t>陈素珍</t>
  </si>
  <si>
    <t>汪勤</t>
  </si>
  <si>
    <t>孙博</t>
  </si>
  <si>
    <t>熊秋红</t>
  </si>
  <si>
    <t>温馥旖</t>
  </si>
  <si>
    <t>符于婧</t>
  </si>
  <si>
    <t>吴晓虹</t>
  </si>
  <si>
    <t>陈春金</t>
  </si>
  <si>
    <t>黄蕊蕊</t>
  </si>
  <si>
    <t>羊美霞</t>
  </si>
  <si>
    <t>沈彩梦</t>
  </si>
  <si>
    <t>林孟丹</t>
  </si>
  <si>
    <t>黎贤</t>
  </si>
  <si>
    <t>王艺铮</t>
  </si>
  <si>
    <t>王揚玉</t>
  </si>
  <si>
    <t>陈瑞潘</t>
  </si>
  <si>
    <t>陈珂珂</t>
  </si>
  <si>
    <t>曾敏善</t>
  </si>
  <si>
    <t>梁安娜</t>
  </si>
  <si>
    <t>肖咪</t>
  </si>
  <si>
    <t>林梅</t>
  </si>
  <si>
    <t>梁娟</t>
  </si>
  <si>
    <t xml:space="preserve">陈庆翠 </t>
  </si>
  <si>
    <t>刘忠良</t>
  </si>
  <si>
    <t>符礼娜</t>
  </si>
  <si>
    <t>符家圆</t>
  </si>
  <si>
    <t>叶馨洁</t>
  </si>
  <si>
    <t>翁咪咪</t>
  </si>
  <si>
    <t>裴贵滨</t>
  </si>
  <si>
    <t>符壮才</t>
  </si>
  <si>
    <t>李莺歌</t>
  </si>
  <si>
    <t>王堂棉</t>
  </si>
  <si>
    <t>苏斌斌</t>
  </si>
  <si>
    <t>邢惠清</t>
  </si>
  <si>
    <t>孙耀玮</t>
  </si>
  <si>
    <t>黄晓琪</t>
  </si>
  <si>
    <t>朱雨</t>
  </si>
  <si>
    <t>李小玉</t>
  </si>
  <si>
    <t>李彩奥</t>
  </si>
  <si>
    <t>黄小滨</t>
  </si>
  <si>
    <t>钟红灵</t>
  </si>
  <si>
    <t>冯春爱</t>
  </si>
  <si>
    <t>黄小娟</t>
  </si>
  <si>
    <t>陈荣林</t>
  </si>
  <si>
    <t>隋清云</t>
  </si>
  <si>
    <t>马时卉</t>
  </si>
  <si>
    <t>陈璐璐</t>
  </si>
  <si>
    <t>符王玲</t>
  </si>
  <si>
    <t>董朝燕</t>
  </si>
  <si>
    <t>周敏</t>
  </si>
  <si>
    <t>黎玉花</t>
  </si>
  <si>
    <t>梁舒旖</t>
  </si>
  <si>
    <t>李淑兰</t>
  </si>
  <si>
    <t>王晶晶</t>
  </si>
  <si>
    <t>吴健梅</t>
  </si>
  <si>
    <t>周李扬</t>
  </si>
  <si>
    <t>苏娜</t>
  </si>
  <si>
    <t>符家亮</t>
  </si>
  <si>
    <t>吴雅静</t>
  </si>
  <si>
    <t>叶召琴</t>
  </si>
  <si>
    <t>薛瑞丰</t>
  </si>
  <si>
    <t>张大恋</t>
  </si>
  <si>
    <t>李琳</t>
  </si>
  <si>
    <t>王小慧</t>
  </si>
  <si>
    <t>罗梅香</t>
  </si>
  <si>
    <t>倪德彪</t>
  </si>
  <si>
    <t>林巧青</t>
  </si>
  <si>
    <t>唐天彩</t>
  </si>
  <si>
    <t>向颖涵</t>
  </si>
  <si>
    <t>郑美施</t>
  </si>
  <si>
    <t>蔡惠冰</t>
  </si>
  <si>
    <t>王琳</t>
  </si>
  <si>
    <t>李科卓</t>
  </si>
  <si>
    <t>符颖</t>
  </si>
  <si>
    <t>唐晓云</t>
  </si>
  <si>
    <t>赵钰琳</t>
  </si>
  <si>
    <t>李舒燕</t>
  </si>
  <si>
    <t>邓佳豪</t>
  </si>
  <si>
    <t>莫雯渊</t>
  </si>
  <si>
    <t>林子琪</t>
  </si>
  <si>
    <t>林蓓</t>
  </si>
  <si>
    <t>陈慧敏</t>
  </si>
  <si>
    <t>林乙彤</t>
  </si>
  <si>
    <t>符璐</t>
  </si>
  <si>
    <t>陈积媛</t>
  </si>
  <si>
    <t>冯月玲</t>
  </si>
  <si>
    <t>林雯雯</t>
  </si>
  <si>
    <t>龙秋霞</t>
  </si>
  <si>
    <t>罗维潇</t>
  </si>
  <si>
    <t>王新莉</t>
  </si>
  <si>
    <t>吴锦亮</t>
  </si>
  <si>
    <t>芦韦</t>
  </si>
  <si>
    <t>韦俊</t>
  </si>
  <si>
    <t>符俊优</t>
  </si>
  <si>
    <t>林莹萍</t>
  </si>
  <si>
    <t>岑媛</t>
  </si>
  <si>
    <t>郑大辉</t>
  </si>
  <si>
    <t>孙德慧</t>
  </si>
  <si>
    <t>李亚萍</t>
  </si>
  <si>
    <t>梁莹</t>
  </si>
  <si>
    <t>符春泥</t>
  </si>
  <si>
    <t>胡欣雨</t>
  </si>
  <si>
    <t>刘睿笑</t>
  </si>
  <si>
    <t>杨亭</t>
  </si>
  <si>
    <t>赖美玲</t>
  </si>
  <si>
    <t>林氏黛</t>
  </si>
  <si>
    <t>郑小凤</t>
  </si>
  <si>
    <t>巩曼曼</t>
  </si>
  <si>
    <t>刘春秀</t>
  </si>
  <si>
    <t>桂才荣</t>
  </si>
  <si>
    <t>刘琦</t>
  </si>
  <si>
    <t>吉利茹</t>
  </si>
  <si>
    <t>潘丽蓉</t>
  </si>
  <si>
    <t>冯慧君</t>
  </si>
  <si>
    <t>李琴</t>
  </si>
  <si>
    <t>林泽伟</t>
  </si>
  <si>
    <t>林秀珍</t>
  </si>
  <si>
    <t>李秋萍</t>
  </si>
  <si>
    <t>曾敏琴</t>
  </si>
  <si>
    <t>陈贤玉</t>
  </si>
  <si>
    <t>陈楚楚</t>
  </si>
  <si>
    <t>邢玉莹</t>
  </si>
  <si>
    <t>曾佳仪</t>
  </si>
  <si>
    <t>李雅恋</t>
  </si>
  <si>
    <t>洪宗婷</t>
  </si>
  <si>
    <t>韩海燕</t>
  </si>
  <si>
    <t>符秀凤</t>
  </si>
  <si>
    <t>王婷婷</t>
  </si>
  <si>
    <t>杨可欣</t>
  </si>
  <si>
    <t>李雯雯</t>
  </si>
  <si>
    <t>童文琦</t>
  </si>
  <si>
    <t>陈德香</t>
  </si>
  <si>
    <t>王思思</t>
  </si>
  <si>
    <t>吴蔓</t>
  </si>
  <si>
    <t>吉美燕</t>
  </si>
  <si>
    <t>陈忠丹</t>
  </si>
  <si>
    <t>洪沁</t>
  </si>
  <si>
    <t>许谜</t>
  </si>
  <si>
    <t>王光静</t>
  </si>
  <si>
    <t>叶虹艳</t>
  </si>
  <si>
    <t>林文英</t>
  </si>
  <si>
    <t>杨佳佳</t>
  </si>
  <si>
    <t>陈绿莺</t>
  </si>
  <si>
    <t>王欣仪</t>
  </si>
  <si>
    <t>符小鹏</t>
  </si>
  <si>
    <t>余畅顺</t>
  </si>
  <si>
    <t>蒙定联</t>
  </si>
  <si>
    <t>陈显艳</t>
  </si>
  <si>
    <t>李小晓</t>
  </si>
  <si>
    <t>符春柳</t>
  </si>
  <si>
    <t>云璐</t>
  </si>
  <si>
    <t>符式书</t>
  </si>
  <si>
    <t>林少娱</t>
  </si>
  <si>
    <t>杨凯兰</t>
  </si>
  <si>
    <t>曾萍</t>
  </si>
  <si>
    <t>黄忆玲</t>
  </si>
  <si>
    <t>袁萍</t>
  </si>
  <si>
    <t>曾蔼善</t>
  </si>
  <si>
    <t>吴汉春</t>
  </si>
  <si>
    <t>叶丽云</t>
  </si>
  <si>
    <t>孙婧倩</t>
  </si>
  <si>
    <t>郑紫寒</t>
  </si>
  <si>
    <t>李锦文</t>
  </si>
  <si>
    <t>岑思佳</t>
  </si>
  <si>
    <t>巫仙群</t>
  </si>
  <si>
    <t>马婧</t>
  </si>
  <si>
    <t>张友杰</t>
  </si>
  <si>
    <t>邓蕾蕾</t>
  </si>
  <si>
    <t>张小盈</t>
  </si>
  <si>
    <t>范佳佳</t>
  </si>
  <si>
    <t>战晴晴</t>
  </si>
  <si>
    <t>黄树文</t>
  </si>
  <si>
    <t>许文雅</t>
  </si>
  <si>
    <t>唐艺榕</t>
  </si>
  <si>
    <t>刘珍丽</t>
  </si>
  <si>
    <t>黄海菁</t>
  </si>
  <si>
    <t>邱小颜</t>
  </si>
  <si>
    <t>王惠</t>
  </si>
  <si>
    <t>王峰</t>
  </si>
  <si>
    <t>羊顺梅</t>
  </si>
  <si>
    <t>王小巧</t>
  </si>
  <si>
    <t>符紫菱</t>
  </si>
  <si>
    <t>宋婷婷</t>
  </si>
  <si>
    <t>陈辉毅</t>
  </si>
  <si>
    <t>杨欣</t>
  </si>
  <si>
    <t>盘天娜</t>
  </si>
  <si>
    <t>王芳</t>
  </si>
  <si>
    <t>吴灿</t>
  </si>
  <si>
    <t>何采蓝</t>
  </si>
  <si>
    <t>马晓玲</t>
  </si>
  <si>
    <t>卓艳丽</t>
  </si>
  <si>
    <t>王江莲</t>
  </si>
  <si>
    <t>苏秋梅</t>
  </si>
  <si>
    <t>蒲秋慧</t>
  </si>
  <si>
    <t>梁祖敏</t>
  </si>
  <si>
    <t>陈艺霓</t>
  </si>
  <si>
    <t>王精珠</t>
  </si>
  <si>
    <t>董美妤</t>
  </si>
  <si>
    <t>吴忠珏</t>
  </si>
  <si>
    <t>柯周佩</t>
  </si>
  <si>
    <t>陈秀香</t>
  </si>
  <si>
    <t>史康莉</t>
  </si>
  <si>
    <t>符茂容</t>
  </si>
  <si>
    <t>桂海蓉</t>
  </si>
  <si>
    <t>陈丽平</t>
  </si>
  <si>
    <t>李荟萃</t>
  </si>
  <si>
    <t>曾载益</t>
  </si>
  <si>
    <t>崔惠珍</t>
  </si>
  <si>
    <t>王贞云</t>
  </si>
  <si>
    <t>陈昕</t>
  </si>
  <si>
    <t>张芳</t>
  </si>
  <si>
    <t>罗天蝉</t>
  </si>
  <si>
    <t>冯青桢</t>
  </si>
  <si>
    <t>方清</t>
  </si>
  <si>
    <t>何敏</t>
  </si>
  <si>
    <t>刘志荣</t>
  </si>
  <si>
    <t>梁婷</t>
  </si>
  <si>
    <t>包莹莹</t>
  </si>
  <si>
    <t>蔡辉</t>
  </si>
  <si>
    <t>李婷</t>
  </si>
  <si>
    <t>黄丽雯</t>
  </si>
  <si>
    <t>邝霞</t>
  </si>
  <si>
    <t>郑林妃</t>
  </si>
  <si>
    <t>黄柳灵</t>
  </si>
  <si>
    <t>林李毅</t>
  </si>
  <si>
    <t>郑乔丹</t>
  </si>
  <si>
    <t>徐云</t>
  </si>
  <si>
    <t>刘建芳</t>
  </si>
  <si>
    <t>王健汝</t>
  </si>
  <si>
    <t>田甜</t>
  </si>
  <si>
    <t>符莘竺</t>
  </si>
  <si>
    <t>周林琳</t>
  </si>
  <si>
    <t>叶彩慧</t>
  </si>
  <si>
    <t>温慧仪</t>
  </si>
  <si>
    <t>万火玉</t>
  </si>
  <si>
    <t>赵秋萍</t>
  </si>
  <si>
    <t>周嘉敏</t>
  </si>
  <si>
    <t>吴儒霞</t>
  </si>
  <si>
    <t>林威</t>
  </si>
  <si>
    <t>梁楚苏童</t>
  </si>
  <si>
    <t>叶婷</t>
  </si>
  <si>
    <t>符思彤</t>
  </si>
  <si>
    <t>林赐丹</t>
  </si>
  <si>
    <t>李君位</t>
  </si>
  <si>
    <t>林心怡</t>
  </si>
  <si>
    <t>林郁葱</t>
  </si>
  <si>
    <t>杨梅玲</t>
  </si>
  <si>
    <t>陈萍萍</t>
  </si>
  <si>
    <t>林猷柔</t>
  </si>
  <si>
    <t>马晓蕾</t>
  </si>
  <si>
    <t>邱庆烨</t>
  </si>
  <si>
    <t>唐瑜</t>
  </si>
  <si>
    <t>陈嘉怡</t>
  </si>
  <si>
    <t>陈道梁</t>
  </si>
  <si>
    <t>姚鑫玥</t>
  </si>
  <si>
    <t>刘小海</t>
  </si>
  <si>
    <t>卢旺辉</t>
  </si>
  <si>
    <t>洪莉燕</t>
  </si>
  <si>
    <t>吴卓见</t>
  </si>
  <si>
    <t>徐巧</t>
  </si>
  <si>
    <t>赵阳彩</t>
  </si>
  <si>
    <t>冯海珠</t>
  </si>
  <si>
    <t>苏佳苗</t>
  </si>
  <si>
    <t>罗小星</t>
  </si>
  <si>
    <t>张秋岱</t>
  </si>
  <si>
    <t>秦文</t>
  </si>
  <si>
    <t>姚美珍</t>
  </si>
  <si>
    <t>邱帅</t>
  </si>
  <si>
    <t>柯晓云</t>
  </si>
  <si>
    <t>苏开丹</t>
  </si>
  <si>
    <t>詹子妮</t>
  </si>
  <si>
    <t>王亚聪</t>
  </si>
  <si>
    <t>薛秋盖</t>
  </si>
  <si>
    <t>李茹媛</t>
  </si>
  <si>
    <t>周思萌</t>
  </si>
  <si>
    <t>王欢</t>
  </si>
  <si>
    <t>杜海恋</t>
  </si>
  <si>
    <t>蔡美彩</t>
  </si>
  <si>
    <t>邱小祯</t>
  </si>
  <si>
    <t>谢香梅</t>
  </si>
  <si>
    <t>谭晨</t>
  </si>
  <si>
    <t>郭冲</t>
  </si>
  <si>
    <t>麦宜鑫</t>
  </si>
  <si>
    <t>杜雪梅</t>
  </si>
  <si>
    <t>林洪妃</t>
  </si>
  <si>
    <t>何芳</t>
  </si>
  <si>
    <t>陈娇曼</t>
  </si>
  <si>
    <t>陈崇明</t>
  </si>
  <si>
    <t>陈娇艳</t>
  </si>
  <si>
    <t>龙妮</t>
  </si>
  <si>
    <t>雷家善</t>
  </si>
  <si>
    <t>周鸿祯</t>
  </si>
  <si>
    <t>李月美</t>
  </si>
  <si>
    <t>黄诗婷</t>
  </si>
  <si>
    <t>李子豪</t>
  </si>
  <si>
    <t>吴琪</t>
  </si>
  <si>
    <t>李布高</t>
  </si>
  <si>
    <t>曾春婉</t>
  </si>
  <si>
    <t>陈丽云</t>
  </si>
  <si>
    <t>杜丽南</t>
  </si>
  <si>
    <t>吴姨美</t>
  </si>
  <si>
    <t>史少卿</t>
  </si>
  <si>
    <t>陈二菊</t>
  </si>
  <si>
    <t>谭州君</t>
  </si>
  <si>
    <t>吴小蕊</t>
  </si>
  <si>
    <t>符晶</t>
  </si>
  <si>
    <t>林明清</t>
  </si>
  <si>
    <t>张秀萍</t>
  </si>
  <si>
    <t>朱深深</t>
  </si>
  <si>
    <t>李佳凌</t>
  </si>
  <si>
    <t>吴江云</t>
  </si>
  <si>
    <t>王玺</t>
  </si>
  <si>
    <t>王小李</t>
  </si>
  <si>
    <t>李云飞</t>
  </si>
  <si>
    <t>王文佳</t>
  </si>
  <si>
    <t>王盛锋</t>
  </si>
  <si>
    <t>徐启铭</t>
  </si>
  <si>
    <t>苏春品</t>
  </si>
  <si>
    <t>郑霞</t>
  </si>
  <si>
    <t>邓淑蕾</t>
  </si>
  <si>
    <t>石秀妃</t>
  </si>
  <si>
    <t>王运来</t>
  </si>
  <si>
    <t>林芳君</t>
  </si>
  <si>
    <t>郑延延</t>
  </si>
  <si>
    <t>黄紫</t>
  </si>
  <si>
    <t>蔡定旧</t>
  </si>
  <si>
    <t>王梦月</t>
  </si>
  <si>
    <t>冯霞</t>
  </si>
  <si>
    <t>卢志欢</t>
  </si>
  <si>
    <t>卢武芸</t>
  </si>
  <si>
    <t>陈玉梅</t>
  </si>
  <si>
    <t>李南燕</t>
  </si>
  <si>
    <t>郑梅娃</t>
  </si>
  <si>
    <t>曾曼群</t>
  </si>
  <si>
    <t>郑远核</t>
  </si>
  <si>
    <t>王槐红</t>
  </si>
  <si>
    <t>陈彩虹</t>
  </si>
  <si>
    <t>张鼎飞</t>
  </si>
  <si>
    <t>陈思霖</t>
  </si>
  <si>
    <t>张文优</t>
  </si>
  <si>
    <t>吴林垚</t>
  </si>
  <si>
    <t>罗明健</t>
  </si>
  <si>
    <t>林益换</t>
  </si>
  <si>
    <t>曾瑞睿</t>
  </si>
  <si>
    <t>孙晓晴</t>
  </si>
  <si>
    <t>陈忆凝</t>
  </si>
  <si>
    <t>王慧珍</t>
  </si>
  <si>
    <t>赖海</t>
  </si>
  <si>
    <t>陈秋和</t>
  </si>
  <si>
    <t>黄玉玲</t>
  </si>
  <si>
    <t>龙立琪</t>
  </si>
  <si>
    <t>袁晓晓</t>
  </si>
  <si>
    <t>冯祺钰</t>
  </si>
  <si>
    <t>孙转</t>
  </si>
  <si>
    <t>杨桂柳</t>
  </si>
  <si>
    <t>李茜宁</t>
  </si>
  <si>
    <t>冯志能</t>
  </si>
  <si>
    <t>周南杏</t>
  </si>
  <si>
    <t>叶香梅</t>
  </si>
  <si>
    <t>郑志乾</t>
  </si>
  <si>
    <t>韩琪琪</t>
  </si>
  <si>
    <t>陆海芬</t>
  </si>
  <si>
    <t>亢雪倩</t>
  </si>
  <si>
    <t>陈民丽</t>
  </si>
  <si>
    <t>林娴婷</t>
  </si>
  <si>
    <t>郑再娜</t>
  </si>
  <si>
    <t>赵智美</t>
  </si>
  <si>
    <t>王文香</t>
  </si>
  <si>
    <t>蒲任洁</t>
  </si>
  <si>
    <t>岑咏春</t>
  </si>
  <si>
    <t>陈婆桃</t>
  </si>
  <si>
    <t>董柠柠</t>
  </si>
  <si>
    <t>陈强</t>
  </si>
  <si>
    <t>杨珠</t>
  </si>
  <si>
    <t>梁小玉</t>
  </si>
  <si>
    <t>汤佩</t>
  </si>
  <si>
    <t>周王龙</t>
  </si>
  <si>
    <t>吴晓娟</t>
  </si>
  <si>
    <t>杨晨</t>
  </si>
  <si>
    <t>张欣悦</t>
  </si>
  <si>
    <t>谢正杏</t>
  </si>
  <si>
    <t>黎秀玲</t>
  </si>
  <si>
    <t>何佳欣</t>
  </si>
  <si>
    <t>金佳鑫</t>
  </si>
  <si>
    <t>谭必超</t>
  </si>
  <si>
    <t>刘陈妃</t>
  </si>
  <si>
    <t>符秀迪</t>
  </si>
  <si>
    <t>吴海茴</t>
  </si>
  <si>
    <t>魏菁秀</t>
  </si>
  <si>
    <t>麦晓欣</t>
  </si>
  <si>
    <t>陈跃全</t>
  </si>
  <si>
    <t>王慧聪</t>
  </si>
  <si>
    <t>李梅妍</t>
  </si>
  <si>
    <t>黄丽升</t>
  </si>
  <si>
    <t>郑远准</t>
  </si>
  <si>
    <t>张鹏</t>
  </si>
  <si>
    <t>陈星积</t>
  </si>
  <si>
    <t>黄立娇</t>
  </si>
  <si>
    <t>羊秋菊</t>
  </si>
  <si>
    <t>陈应冰</t>
  </si>
  <si>
    <t>朱丽欣</t>
  </si>
  <si>
    <t>陈云柳</t>
  </si>
  <si>
    <t>王紫</t>
  </si>
  <si>
    <t>梁舒慧</t>
  </si>
  <si>
    <t>周怡</t>
  </si>
  <si>
    <t>符永秀</t>
  </si>
  <si>
    <t>范静薇</t>
  </si>
  <si>
    <t>李永微</t>
  </si>
  <si>
    <t>陈汝萍</t>
  </si>
  <si>
    <t>陈琦琦</t>
  </si>
  <si>
    <t>王绥薇</t>
  </si>
  <si>
    <t>叶秋伶</t>
  </si>
  <si>
    <t>陈月秋</t>
  </si>
  <si>
    <t>甄汉江</t>
  </si>
  <si>
    <t>陈小欢</t>
  </si>
  <si>
    <t>韦进妹</t>
  </si>
  <si>
    <t>陈叶蓓</t>
  </si>
  <si>
    <t>陈燕丹</t>
  </si>
  <si>
    <t>许菊</t>
  </si>
  <si>
    <t>周丹丹</t>
  </si>
  <si>
    <t>刘娟娟</t>
  </si>
  <si>
    <t>吴阿江</t>
  </si>
  <si>
    <t>吴小凤</t>
  </si>
  <si>
    <t>梁仙婉</t>
  </si>
  <si>
    <t>杨倩</t>
  </si>
  <si>
    <t>丁月</t>
  </si>
  <si>
    <t>王琼锋</t>
  </si>
  <si>
    <t>黄毓敏</t>
  </si>
  <si>
    <t>张冠琳</t>
  </si>
  <si>
    <t>陈京蔚</t>
  </si>
  <si>
    <t>鲁柯羽</t>
  </si>
  <si>
    <t>何明</t>
  </si>
  <si>
    <t>张玉婷</t>
  </si>
  <si>
    <t>黄会艳</t>
  </si>
  <si>
    <t>黄洁</t>
  </si>
  <si>
    <t>李彤</t>
  </si>
  <si>
    <t>李雷向</t>
  </si>
  <si>
    <t>栗树涛</t>
  </si>
  <si>
    <t>张飔焱</t>
  </si>
  <si>
    <t>张毓</t>
  </si>
  <si>
    <t>周清青</t>
  </si>
  <si>
    <t>黄萍</t>
  </si>
  <si>
    <t>许榆</t>
  </si>
  <si>
    <t>刘雅琴</t>
  </si>
  <si>
    <t>李怡君</t>
  </si>
  <si>
    <t>冯翠香</t>
  </si>
  <si>
    <t>王振莹</t>
  </si>
  <si>
    <t>陈国强</t>
  </si>
  <si>
    <t>顾梦怡</t>
  </si>
  <si>
    <t>王恩娜</t>
  </si>
  <si>
    <t>符金秀</t>
  </si>
  <si>
    <t>李平道</t>
  </si>
  <si>
    <t>吴彩蕾</t>
  </si>
  <si>
    <t>卓蕾</t>
  </si>
  <si>
    <t>李宇晴</t>
  </si>
  <si>
    <t>王明武</t>
  </si>
  <si>
    <t>陈莉莉</t>
  </si>
  <si>
    <t>李达辉</t>
  </si>
  <si>
    <t>孙慧梅</t>
  </si>
  <si>
    <t>陈淑斐</t>
  </si>
  <si>
    <t>卢佳佳</t>
  </si>
  <si>
    <t>吴艳红</t>
  </si>
  <si>
    <t>陈焕南</t>
  </si>
  <si>
    <t>王亚明</t>
  </si>
  <si>
    <t>林雅娜</t>
  </si>
  <si>
    <t>王淑祯</t>
  </si>
  <si>
    <t>庄璐</t>
  </si>
  <si>
    <t>陈媚</t>
  </si>
  <si>
    <t>黄文凤</t>
  </si>
  <si>
    <t>石家慧</t>
  </si>
  <si>
    <t>黄丽贞</t>
  </si>
  <si>
    <t>徐彬彬</t>
  </si>
  <si>
    <t>关芳艳</t>
  </si>
  <si>
    <t>钟建娜</t>
  </si>
  <si>
    <t>吴钟达</t>
  </si>
  <si>
    <t>秦明娜</t>
  </si>
  <si>
    <t>魏琳蓉</t>
  </si>
  <si>
    <t>黄菲菲</t>
  </si>
  <si>
    <t>陈青青</t>
  </si>
  <si>
    <t>周小娜</t>
  </si>
  <si>
    <t>梁晓菲</t>
  </si>
  <si>
    <t>林宏艳</t>
  </si>
  <si>
    <t>杨梅燕</t>
  </si>
  <si>
    <t>祁晶晶</t>
  </si>
  <si>
    <t>李显利</t>
  </si>
  <si>
    <t>阮惠如</t>
  </si>
  <si>
    <t>杨冰</t>
  </si>
  <si>
    <t>张钰</t>
  </si>
  <si>
    <t>蔡云飞</t>
  </si>
  <si>
    <t>黄恋</t>
  </si>
  <si>
    <t>王文善</t>
  </si>
  <si>
    <t>夏啸珍</t>
  </si>
  <si>
    <t>王英怀</t>
  </si>
  <si>
    <t>叶书情</t>
  </si>
  <si>
    <t>胡新月</t>
  </si>
  <si>
    <t>谢容鹏</t>
  </si>
  <si>
    <t>黄怡</t>
  </si>
  <si>
    <t>马周晶</t>
  </si>
  <si>
    <t>林诗展</t>
  </si>
  <si>
    <t>李华丽</t>
  </si>
  <si>
    <t>杨佩泉</t>
  </si>
  <si>
    <t>唐琼媚</t>
  </si>
  <si>
    <t>吴思卓</t>
  </si>
  <si>
    <t>黄奕雯</t>
  </si>
  <si>
    <t>宫秀秀</t>
  </si>
  <si>
    <t>洪觉夏</t>
  </si>
  <si>
    <t>陈晓雯</t>
  </si>
  <si>
    <t>林芳芬</t>
  </si>
  <si>
    <t>卢周莹</t>
  </si>
  <si>
    <t>王中慧</t>
  </si>
  <si>
    <t>陈妹玉</t>
  </si>
  <si>
    <t>郑爽</t>
  </si>
  <si>
    <t>周宇飞</t>
  </si>
  <si>
    <t>代玉婷</t>
  </si>
  <si>
    <t>桂雪</t>
  </si>
  <si>
    <t>陈茹</t>
  </si>
  <si>
    <t>刘亚琦</t>
  </si>
  <si>
    <t>黄锦华</t>
  </si>
  <si>
    <t>牛英凤</t>
  </si>
  <si>
    <t>韦杰艺</t>
  </si>
  <si>
    <t>钟彦妃</t>
  </si>
  <si>
    <t>李达培</t>
  </si>
  <si>
    <t>邢敏</t>
  </si>
  <si>
    <t>符慧琳</t>
  </si>
  <si>
    <t>吴美娜</t>
  </si>
  <si>
    <t>韩松梅</t>
  </si>
  <si>
    <t>安笑</t>
  </si>
  <si>
    <t>曾恋</t>
  </si>
  <si>
    <t>钟玄英</t>
  </si>
  <si>
    <t>麦琪琪</t>
  </si>
  <si>
    <t>符丽莹</t>
  </si>
  <si>
    <t>韦绕选</t>
  </si>
  <si>
    <t>邵天然</t>
  </si>
  <si>
    <t>陈秀荣</t>
  </si>
  <si>
    <t>吴剑花</t>
  </si>
  <si>
    <t>陈陆宁</t>
  </si>
  <si>
    <t>蒙可盈</t>
  </si>
  <si>
    <t>杨晓敏</t>
  </si>
  <si>
    <t>潘芬芬</t>
  </si>
  <si>
    <t>叶静涵</t>
  </si>
  <si>
    <t>叶夏雅</t>
  </si>
  <si>
    <t>陈垂静</t>
  </si>
  <si>
    <t>林株朱</t>
  </si>
  <si>
    <t>许权锋</t>
  </si>
  <si>
    <t>孙树勤</t>
  </si>
  <si>
    <t>李智泽</t>
  </si>
  <si>
    <t>朱童</t>
  </si>
  <si>
    <t>李冬燕</t>
  </si>
  <si>
    <t>蔡沐贞</t>
  </si>
  <si>
    <t>邓华超</t>
  </si>
  <si>
    <t>陈小雪</t>
  </si>
  <si>
    <t>郭伟伟</t>
  </si>
  <si>
    <t>吴知倍</t>
  </si>
  <si>
    <t>梁梦妮</t>
  </si>
  <si>
    <t>李天碧</t>
  </si>
  <si>
    <t>王倩</t>
  </si>
  <si>
    <t>林元超</t>
  </si>
  <si>
    <t>赵青宏</t>
  </si>
  <si>
    <t>王嘉贤</t>
  </si>
  <si>
    <t>张煊</t>
  </si>
  <si>
    <t>陈和娇</t>
  </si>
  <si>
    <t>何声薇</t>
  </si>
  <si>
    <t>廖嫣然</t>
  </si>
  <si>
    <t>江晓</t>
  </si>
  <si>
    <t>王燕南</t>
  </si>
  <si>
    <t>吉发霞</t>
  </si>
  <si>
    <t>赖冰如</t>
  </si>
  <si>
    <t>傅田雪</t>
  </si>
  <si>
    <t>林春爱</t>
  </si>
  <si>
    <t>王启敏</t>
  </si>
  <si>
    <t>羊小佩</t>
  </si>
  <si>
    <t>王彩玉</t>
  </si>
  <si>
    <t>曾晶</t>
  </si>
  <si>
    <t>王世妹</t>
  </si>
  <si>
    <t>李音雅</t>
  </si>
  <si>
    <t>陈宏娜</t>
  </si>
  <si>
    <t>王欣慧</t>
  </si>
  <si>
    <t>林荔</t>
  </si>
  <si>
    <t>侯姚瑶</t>
  </si>
  <si>
    <t>吴碧丹</t>
  </si>
  <si>
    <t>陈瑾璇</t>
  </si>
  <si>
    <t>黎惠瑶</t>
  </si>
  <si>
    <t>许温带</t>
  </si>
  <si>
    <t>李旖旎</t>
  </si>
  <si>
    <t>孙丽香</t>
  </si>
  <si>
    <t>王小云</t>
  </si>
  <si>
    <t>晁瑜敏</t>
  </si>
  <si>
    <t>曾财源</t>
  </si>
  <si>
    <t>吴多芳</t>
  </si>
  <si>
    <t>梁于威</t>
  </si>
  <si>
    <t>冯雪蓉</t>
  </si>
  <si>
    <t>王康强</t>
  </si>
  <si>
    <t>刘婷</t>
  </si>
  <si>
    <t>黄家茹</t>
  </si>
  <si>
    <t>冼小惠</t>
  </si>
  <si>
    <t>李玉</t>
  </si>
  <si>
    <t>李爱萍</t>
  </si>
  <si>
    <t>李阳坤</t>
  </si>
  <si>
    <t>黄华依</t>
  </si>
  <si>
    <t>刘琪</t>
  </si>
  <si>
    <t>黄小山</t>
  </si>
  <si>
    <t>彭丽曼</t>
  </si>
  <si>
    <t>李彩虹</t>
  </si>
  <si>
    <t>李时畅</t>
  </si>
  <si>
    <t>王雪倩</t>
  </si>
  <si>
    <t>张宝婷</t>
  </si>
  <si>
    <t>廖情</t>
  </si>
  <si>
    <t>王洁茹</t>
  </si>
  <si>
    <t>陈创卿</t>
  </si>
  <si>
    <t>李茹</t>
  </si>
  <si>
    <t>符升炜</t>
  </si>
  <si>
    <t>邢贞琪</t>
  </si>
  <si>
    <t>蔡丹丹</t>
  </si>
  <si>
    <t>陈广健</t>
  </si>
  <si>
    <t>陈妍婷</t>
  </si>
  <si>
    <t>徐卫霞</t>
  </si>
  <si>
    <t>韦雅倩</t>
  </si>
  <si>
    <t>潘晓波</t>
  </si>
  <si>
    <t>吴海红</t>
  </si>
  <si>
    <t>黄铃倖</t>
  </si>
  <si>
    <t>李琼虹</t>
  </si>
  <si>
    <t>黄垂青</t>
  </si>
  <si>
    <t>谢慧琳</t>
  </si>
  <si>
    <t>陈桂英</t>
  </si>
  <si>
    <t>邓冠香</t>
  </si>
  <si>
    <t>林丽丹</t>
  </si>
  <si>
    <t>傅楷文</t>
  </si>
  <si>
    <t>赵若铭</t>
  </si>
  <si>
    <t>马福华</t>
  </si>
  <si>
    <t>周晓娟</t>
  </si>
  <si>
    <t>韩佳琦</t>
  </si>
  <si>
    <t>叶晴怡</t>
  </si>
  <si>
    <t>陈垂如</t>
  </si>
  <si>
    <t>何井美</t>
  </si>
  <si>
    <t>李蒙如</t>
  </si>
  <si>
    <t>徐杰</t>
  </si>
  <si>
    <t>刘芳</t>
  </si>
  <si>
    <t>陈德隆</t>
  </si>
  <si>
    <t>林雅倩</t>
  </si>
  <si>
    <t>吴挺丽</t>
  </si>
  <si>
    <t>莫小米</t>
  </si>
  <si>
    <t>章淇</t>
  </si>
  <si>
    <t>沈榕</t>
  </si>
  <si>
    <t>王美虹</t>
  </si>
  <si>
    <t>黄秀芳</t>
  </si>
  <si>
    <t>林季花</t>
  </si>
  <si>
    <t>陈荟西</t>
  </si>
  <si>
    <t>钟顺妃</t>
  </si>
  <si>
    <t>陈亚亲</t>
  </si>
  <si>
    <t>郑熠</t>
  </si>
  <si>
    <t>王涓</t>
  </si>
  <si>
    <t>韦让灵</t>
  </si>
  <si>
    <t xml:space="preserve">王敏 </t>
  </si>
  <si>
    <t>代白玉</t>
  </si>
  <si>
    <t>黄宏夫</t>
  </si>
  <si>
    <t>颜维才</t>
  </si>
  <si>
    <t>吴艳</t>
  </si>
  <si>
    <t>卢锦龙</t>
  </si>
  <si>
    <t>王小凡</t>
  </si>
  <si>
    <t>班艳</t>
  </si>
  <si>
    <t>蒙绘如</t>
  </si>
  <si>
    <t>容美田</t>
  </si>
  <si>
    <t>黄丽萍</t>
  </si>
  <si>
    <t>郑永妮</t>
  </si>
  <si>
    <t>谢凤妹</t>
  </si>
  <si>
    <t>汤子贤</t>
  </si>
  <si>
    <t>赵庆婷</t>
  </si>
  <si>
    <t>邵长梅</t>
  </si>
  <si>
    <t>陈颖</t>
  </si>
  <si>
    <t>黄杨棠</t>
  </si>
  <si>
    <t>陈海欢</t>
  </si>
  <si>
    <t>符前准</t>
  </si>
  <si>
    <t>王素南</t>
  </si>
  <si>
    <t>董筱雯</t>
  </si>
  <si>
    <t>黎宏琪</t>
  </si>
  <si>
    <t>曾振元</t>
  </si>
  <si>
    <t>陈慧雯</t>
  </si>
  <si>
    <t>张国军</t>
  </si>
  <si>
    <t>窦文璐</t>
  </si>
  <si>
    <t>张兰英</t>
  </si>
  <si>
    <t>张倩莹</t>
  </si>
  <si>
    <t>蔡彩梅</t>
  </si>
  <si>
    <t>熊秀容</t>
  </si>
  <si>
    <t>张美霞</t>
  </si>
  <si>
    <t>陈盛</t>
  </si>
  <si>
    <t>郑群莉</t>
  </si>
  <si>
    <t>陈秀勤</t>
  </si>
  <si>
    <t>陈桂南</t>
  </si>
  <si>
    <t>赵崇权</t>
  </si>
  <si>
    <t>林晶晶</t>
  </si>
  <si>
    <t>陈岳胜</t>
  </si>
  <si>
    <t>陈友慧</t>
  </si>
  <si>
    <t>陈柳吟</t>
  </si>
  <si>
    <t>钟金水</t>
  </si>
  <si>
    <t>林金茹</t>
  </si>
  <si>
    <t>符丽荣</t>
  </si>
  <si>
    <t>林开妍</t>
  </si>
  <si>
    <t>钟彩银</t>
  </si>
  <si>
    <t>李世辰</t>
  </si>
  <si>
    <t>李新艳</t>
  </si>
  <si>
    <t>程丽敏</t>
  </si>
  <si>
    <t>王美姿</t>
  </si>
  <si>
    <t>林清颜</t>
  </si>
  <si>
    <t>韦海娟</t>
  </si>
  <si>
    <t>翁时岛</t>
  </si>
  <si>
    <t>陈君</t>
  </si>
  <si>
    <t>符志歌</t>
  </si>
  <si>
    <t>朱奕恒</t>
  </si>
  <si>
    <t>赵贝贝</t>
  </si>
  <si>
    <t>肖万立</t>
  </si>
  <si>
    <t>苏云珍</t>
  </si>
  <si>
    <t>黎妙云</t>
  </si>
  <si>
    <t>费星瑶</t>
  </si>
  <si>
    <t>林仙</t>
  </si>
  <si>
    <t>张雪佳</t>
  </si>
  <si>
    <t>张秋丹</t>
  </si>
  <si>
    <t>李莉</t>
  </si>
  <si>
    <t>刘嘉琪</t>
  </si>
  <si>
    <t>林萍丽</t>
  </si>
  <si>
    <t>周振誉</t>
  </si>
  <si>
    <t>占忠忠</t>
  </si>
  <si>
    <t>杜雪怡</t>
  </si>
  <si>
    <t>程虹</t>
  </si>
  <si>
    <t>符荟</t>
  </si>
  <si>
    <t>翁美灵</t>
  </si>
  <si>
    <t>林宝芸</t>
  </si>
  <si>
    <t>卞在燕</t>
  </si>
  <si>
    <t>林升首</t>
  </si>
  <si>
    <t>孙嘉惠</t>
  </si>
  <si>
    <t>王春荣</t>
  </si>
  <si>
    <t>吴毓姬</t>
  </si>
  <si>
    <t>高婧</t>
  </si>
  <si>
    <t>李静姣</t>
  </si>
  <si>
    <t>陈美惠紫</t>
  </si>
  <si>
    <t>梁咪咪</t>
  </si>
  <si>
    <t>符倩雪</t>
  </si>
  <si>
    <t>林著佳</t>
  </si>
  <si>
    <t>张梦圆</t>
  </si>
  <si>
    <t>张媛媛</t>
  </si>
  <si>
    <t>赵昊辰</t>
  </si>
  <si>
    <t>陈思</t>
  </si>
  <si>
    <t>温淑汝</t>
  </si>
  <si>
    <t>罗琪</t>
  </si>
  <si>
    <t>王嘉</t>
  </si>
  <si>
    <t>张福招</t>
  </si>
  <si>
    <t>陈佳倩</t>
  </si>
  <si>
    <t>姚力嘉</t>
  </si>
  <si>
    <t>冯智</t>
  </si>
  <si>
    <t>唐雪</t>
  </si>
  <si>
    <t>苏展</t>
  </si>
  <si>
    <t>文汐</t>
  </si>
  <si>
    <t>王晓翠</t>
  </si>
  <si>
    <t>陈桂美</t>
  </si>
  <si>
    <t>刘雨婷</t>
  </si>
  <si>
    <t>郑惠莲</t>
  </si>
  <si>
    <t>吴小娟</t>
  </si>
  <si>
    <t>陈瑞阳</t>
  </si>
  <si>
    <t>麦小欢</t>
  </si>
  <si>
    <t>梁婆姑</t>
  </si>
  <si>
    <t>陈少盈</t>
  </si>
  <si>
    <t>韩笑</t>
  </si>
  <si>
    <t>谢鸿昌</t>
  </si>
  <si>
    <t>毛轲</t>
  </si>
  <si>
    <t>陈思羽</t>
  </si>
  <si>
    <t>王倩文</t>
  </si>
  <si>
    <t>李小菲</t>
  </si>
  <si>
    <t>符丽霞</t>
  </si>
  <si>
    <t>刘依琳</t>
  </si>
  <si>
    <t>林亚奇</t>
  </si>
  <si>
    <t>于晗遥</t>
  </si>
  <si>
    <t>蔡希鹏</t>
  </si>
  <si>
    <t>陈巧媚</t>
  </si>
  <si>
    <t>李晓</t>
  </si>
  <si>
    <t>韦慧</t>
  </si>
  <si>
    <t>宋文睿</t>
  </si>
  <si>
    <t>郑梦婷</t>
  </si>
  <si>
    <t>林雯</t>
  </si>
  <si>
    <t>吴桃坤</t>
  </si>
  <si>
    <t>林丽柔</t>
  </si>
  <si>
    <t>王琪琪</t>
  </si>
  <si>
    <t>杨兹庆</t>
  </si>
  <si>
    <t>邢孔妻</t>
  </si>
  <si>
    <t>符婷婷</t>
  </si>
  <si>
    <t>韦国兵</t>
  </si>
  <si>
    <t>黄彩欣</t>
  </si>
  <si>
    <t>罗小红</t>
  </si>
  <si>
    <t>王小倩</t>
  </si>
  <si>
    <t>韦传葳</t>
  </si>
  <si>
    <t>符晓丹</t>
  </si>
  <si>
    <t>苏小柳</t>
  </si>
  <si>
    <t>倪芳丽</t>
  </si>
  <si>
    <t>陈蕊</t>
  </si>
  <si>
    <t>曹雷</t>
  </si>
  <si>
    <t>谭荣榕</t>
  </si>
  <si>
    <t>蔡丹</t>
  </si>
  <si>
    <t>钱慧</t>
  </si>
  <si>
    <t>龙霜霜</t>
  </si>
  <si>
    <t>何佳怡</t>
  </si>
  <si>
    <t>许裕敏</t>
  </si>
  <si>
    <t>何强</t>
  </si>
  <si>
    <t>杨雪</t>
  </si>
  <si>
    <t>黄炳升</t>
  </si>
  <si>
    <t>谢亚倩</t>
  </si>
  <si>
    <t>陈惠楠</t>
  </si>
  <si>
    <t>符丹丹</t>
  </si>
  <si>
    <t>莫乐杰</t>
  </si>
  <si>
    <t>邓菊姐</t>
  </si>
  <si>
    <t>曾琬清</t>
  </si>
  <si>
    <t>符琼滢</t>
  </si>
  <si>
    <t>麦赛圆</t>
  </si>
  <si>
    <t>王堂丹</t>
  </si>
  <si>
    <t>唐梅艳</t>
  </si>
  <si>
    <t>陈月桂</t>
  </si>
  <si>
    <t>秦旗依</t>
  </si>
  <si>
    <t>蔡娇</t>
  </si>
  <si>
    <t>陈航</t>
  </si>
  <si>
    <t>蔡蒙蒙</t>
  </si>
  <si>
    <t>陈惠典</t>
  </si>
  <si>
    <t>张宇微</t>
  </si>
  <si>
    <t>王林岚</t>
  </si>
  <si>
    <t>梁嘉金</t>
  </si>
  <si>
    <t>庞华</t>
  </si>
  <si>
    <t>杨珍</t>
  </si>
  <si>
    <t>梁婕</t>
  </si>
  <si>
    <t>吴淑珍</t>
  </si>
  <si>
    <t>吴梓微</t>
  </si>
  <si>
    <t>牛滢</t>
  </si>
  <si>
    <t>王苗</t>
  </si>
  <si>
    <t>文茜</t>
  </si>
  <si>
    <t>刘峰华</t>
  </si>
  <si>
    <t>邓万丽</t>
  </si>
  <si>
    <t>李俊佳</t>
  </si>
  <si>
    <t>李紫云</t>
  </si>
  <si>
    <t>梁杨</t>
  </si>
  <si>
    <t>张芳菊</t>
  </si>
  <si>
    <t>林小琪</t>
  </si>
  <si>
    <t>胡莉芬</t>
  </si>
  <si>
    <t>王子琛</t>
  </si>
  <si>
    <t>蔡兴美</t>
  </si>
  <si>
    <t>王少玮</t>
  </si>
  <si>
    <t>秦冰</t>
  </si>
  <si>
    <t>梁盈盈</t>
  </si>
  <si>
    <t>符家芳</t>
  </si>
  <si>
    <t>何娇</t>
  </si>
  <si>
    <t>董文帆</t>
  </si>
  <si>
    <t>黄妹妹</t>
  </si>
  <si>
    <t>邓美燕</t>
  </si>
  <si>
    <t>许小连</t>
  </si>
  <si>
    <t>杨文秀</t>
  </si>
  <si>
    <t>陈柳妃</t>
  </si>
  <si>
    <t>赖理智</t>
  </si>
  <si>
    <t>符有领</t>
  </si>
  <si>
    <t>王凤</t>
  </si>
  <si>
    <t>王明鹏</t>
  </si>
  <si>
    <t>杜明明</t>
  </si>
  <si>
    <t>谢小影</t>
  </si>
  <si>
    <t>符婧祺</t>
  </si>
  <si>
    <t>李昊斓</t>
  </si>
  <si>
    <t>陈缘缘</t>
  </si>
  <si>
    <t>蔡莹</t>
  </si>
  <si>
    <t>程宇欣</t>
  </si>
  <si>
    <t>冯莉莉</t>
  </si>
  <si>
    <t>张婉营</t>
  </si>
  <si>
    <t>李玲</t>
  </si>
  <si>
    <t>关钰于</t>
  </si>
  <si>
    <t>邵蕊</t>
  </si>
  <si>
    <t>陈岩</t>
  </si>
  <si>
    <t>孔颖</t>
  </si>
  <si>
    <t>林维演</t>
  </si>
  <si>
    <t>李栎宇</t>
  </si>
  <si>
    <t>陈卫琳</t>
  </si>
  <si>
    <t>余心砚</t>
  </si>
  <si>
    <t>苏炳先</t>
  </si>
  <si>
    <t>王菊影</t>
  </si>
  <si>
    <t>董霭芳</t>
  </si>
  <si>
    <t>曾蔚玲</t>
  </si>
  <si>
    <t>李思卓</t>
  </si>
  <si>
    <t>孙嘉</t>
  </si>
  <si>
    <t>刘珏妮</t>
  </si>
  <si>
    <t>赖咏宣</t>
  </si>
  <si>
    <t>陈登</t>
  </si>
  <si>
    <t>翁莹莹</t>
  </si>
  <si>
    <t>张小芳</t>
  </si>
  <si>
    <t>陈琼瑛</t>
  </si>
  <si>
    <t>陈素妮</t>
  </si>
  <si>
    <t>郑柏惠</t>
  </si>
  <si>
    <t>陈约芸</t>
  </si>
  <si>
    <t>刘才华</t>
  </si>
  <si>
    <t>文小倩</t>
  </si>
  <si>
    <t>黄耀仪</t>
  </si>
  <si>
    <t>陈秀芬</t>
  </si>
  <si>
    <t>王佳莹</t>
  </si>
  <si>
    <t>胡国书</t>
  </si>
  <si>
    <t xml:space="preserve">王菲 </t>
  </si>
  <si>
    <t>方馨仪</t>
  </si>
  <si>
    <t>黄琮嵛</t>
  </si>
  <si>
    <t>吴丹妮</t>
  </si>
  <si>
    <t>易佳鹏</t>
  </si>
  <si>
    <t>羊芸瑜</t>
  </si>
  <si>
    <t>吴靖萱</t>
  </si>
  <si>
    <t>黄海格</t>
  </si>
  <si>
    <t>莫斯婷</t>
  </si>
  <si>
    <t>王玥</t>
  </si>
  <si>
    <t>韩永喜</t>
  </si>
  <si>
    <t>赵绵峰</t>
  </si>
  <si>
    <t>蔡雪</t>
  </si>
  <si>
    <t>王神月</t>
  </si>
  <si>
    <t>陈金科</t>
  </si>
  <si>
    <t>符婧雯</t>
  </si>
  <si>
    <t>王丹芳</t>
  </si>
  <si>
    <t>何春玲</t>
  </si>
  <si>
    <t>王才良</t>
  </si>
  <si>
    <t>姜微</t>
  </si>
  <si>
    <t>李有彪</t>
  </si>
  <si>
    <t>王树妹</t>
  </si>
  <si>
    <t>吴妃妃</t>
  </si>
  <si>
    <t>王晓源</t>
  </si>
  <si>
    <t>李世欣</t>
  </si>
  <si>
    <t>邝小艳</t>
  </si>
  <si>
    <t>冯羽</t>
  </si>
  <si>
    <t>黄慈峰</t>
  </si>
  <si>
    <t>吴树杨</t>
  </si>
  <si>
    <t>陈月美</t>
  </si>
  <si>
    <t>廖红雨</t>
  </si>
  <si>
    <t>黄美莎</t>
  </si>
  <si>
    <t>邝文蔚</t>
  </si>
  <si>
    <t>杜秀翠</t>
  </si>
  <si>
    <t>梁敏</t>
  </si>
  <si>
    <t>林沉燕</t>
  </si>
  <si>
    <t>吴樱蓓</t>
  </si>
  <si>
    <t>闫续华</t>
  </si>
  <si>
    <t>张镒涵</t>
  </si>
  <si>
    <t>陈虹秀</t>
  </si>
  <si>
    <t>杜云婷</t>
  </si>
  <si>
    <t>陈霖霞</t>
  </si>
  <si>
    <t>杨祖皇</t>
  </si>
  <si>
    <t>石颖婕</t>
  </si>
  <si>
    <t>陈文慧</t>
  </si>
  <si>
    <t>龚婉晴</t>
  </si>
  <si>
    <t>王康浩</t>
  </si>
  <si>
    <t>陈慧</t>
  </si>
  <si>
    <t>王飞</t>
  </si>
  <si>
    <t>吴带秀</t>
  </si>
  <si>
    <t>陶蓝灵</t>
  </si>
  <si>
    <t>黄海燕</t>
  </si>
  <si>
    <t>陈海琪</t>
  </si>
  <si>
    <t>王嫦娥</t>
  </si>
  <si>
    <t>袁乙方</t>
  </si>
  <si>
    <t>简雨静</t>
  </si>
  <si>
    <t>王妹露</t>
  </si>
  <si>
    <t xml:space="preserve">王小丹 </t>
  </si>
  <si>
    <t>曾丹</t>
  </si>
  <si>
    <t>章薇</t>
  </si>
  <si>
    <t>伍田</t>
  </si>
  <si>
    <t>张慧茹</t>
  </si>
  <si>
    <t>陈丹红</t>
  </si>
  <si>
    <t>王海棠</t>
  </si>
  <si>
    <t>严景洲</t>
  </si>
  <si>
    <t>吴乾侨</t>
  </si>
  <si>
    <t>罗浩</t>
  </si>
  <si>
    <t>黎倖佃</t>
  </si>
  <si>
    <t>黄少梅</t>
  </si>
  <si>
    <t>许慧玲</t>
  </si>
  <si>
    <t>姚君</t>
  </si>
  <si>
    <t>马章林</t>
  </si>
  <si>
    <t>劳健妍</t>
  </si>
  <si>
    <t>符晶晶</t>
  </si>
  <si>
    <t>罗运展</t>
  </si>
  <si>
    <t>谢瑞琦</t>
  </si>
  <si>
    <t>陈三妹</t>
  </si>
  <si>
    <t>陈小燕</t>
  </si>
  <si>
    <t>钟琪琪</t>
  </si>
  <si>
    <t>任星辰</t>
  </si>
  <si>
    <t>陈佩颖</t>
  </si>
  <si>
    <t>何菁菁</t>
  </si>
  <si>
    <t>黄美玉</t>
  </si>
  <si>
    <t>吴朋艳</t>
  </si>
  <si>
    <t>晏扬</t>
  </si>
  <si>
    <t>林慧欣</t>
  </si>
  <si>
    <t>梁海英</t>
  </si>
  <si>
    <t>韦晓帆</t>
  </si>
  <si>
    <t>何江</t>
  </si>
  <si>
    <t>邓亚漂</t>
  </si>
  <si>
    <t>陈燕雨</t>
  </si>
  <si>
    <t>丁兰澜</t>
  </si>
  <si>
    <t>王永确</t>
  </si>
  <si>
    <t>陈姝妤</t>
  </si>
  <si>
    <t>吴家和</t>
  </si>
  <si>
    <t>陈茜</t>
  </si>
  <si>
    <t>吴国卿</t>
  </si>
  <si>
    <t>罗一鸣</t>
  </si>
  <si>
    <t>朱泽慧</t>
  </si>
  <si>
    <t>冯素敏</t>
  </si>
  <si>
    <t>方妹</t>
  </si>
  <si>
    <t>文雅丽</t>
  </si>
  <si>
    <t>梁春燕</t>
  </si>
  <si>
    <t>陈玲</t>
  </si>
  <si>
    <t>李旭</t>
  </si>
  <si>
    <t>陈雀</t>
  </si>
  <si>
    <t>吴和月</t>
  </si>
  <si>
    <t>吉敏</t>
  </si>
  <si>
    <t>翁书玲</t>
  </si>
  <si>
    <t>潘瑾</t>
  </si>
  <si>
    <t>邓庆波</t>
  </si>
  <si>
    <t>林小玲</t>
  </si>
  <si>
    <t>王小虹</t>
  </si>
  <si>
    <t>向鑫蕾</t>
  </si>
  <si>
    <t>兰曦</t>
  </si>
  <si>
    <t>黄志娟</t>
  </si>
  <si>
    <t>刘薇</t>
  </si>
  <si>
    <t>王嘉仪</t>
  </si>
  <si>
    <t>李桂晶</t>
  </si>
  <si>
    <t>黄晓瑶</t>
  </si>
  <si>
    <t>邓敏伶</t>
  </si>
  <si>
    <t>陈天香</t>
  </si>
  <si>
    <t>戴蕾</t>
  </si>
  <si>
    <t>陈菊</t>
  </si>
  <si>
    <t>郑远涵</t>
  </si>
  <si>
    <t>林芷钰</t>
  </si>
  <si>
    <t>吴金英</t>
  </si>
  <si>
    <t>何爱花</t>
  </si>
  <si>
    <t>黄予玥</t>
  </si>
  <si>
    <t>李家坤</t>
  </si>
  <si>
    <t>黄小云</t>
  </si>
  <si>
    <t>林于莉</t>
  </si>
  <si>
    <t>黄燕芬</t>
  </si>
  <si>
    <t>邢小蝶</t>
  </si>
  <si>
    <t>陈波</t>
  </si>
  <si>
    <t>钟淑馨</t>
  </si>
  <si>
    <t>胡香云</t>
  </si>
  <si>
    <t>刘叶文盼</t>
  </si>
  <si>
    <t>岳津竹</t>
  </si>
  <si>
    <t>王瑜晶</t>
  </si>
  <si>
    <t>何先姬</t>
  </si>
  <si>
    <t>蔡亲怡</t>
  </si>
  <si>
    <t>冯婷</t>
  </si>
  <si>
    <t>王愉</t>
  </si>
  <si>
    <t>林诗韵</t>
  </si>
  <si>
    <t>罗传柳</t>
  </si>
  <si>
    <t>吴仪</t>
  </si>
  <si>
    <t>黄振桓</t>
  </si>
  <si>
    <t>耿玥</t>
  </si>
  <si>
    <t>陈广朝</t>
  </si>
  <si>
    <t>陈专柏</t>
  </si>
  <si>
    <t>陈桂来</t>
  </si>
  <si>
    <t>庄国仕</t>
  </si>
  <si>
    <t>符娜婷</t>
  </si>
  <si>
    <t>符芸芸</t>
  </si>
  <si>
    <t>王春宇</t>
  </si>
  <si>
    <t>林礼妙</t>
  </si>
  <si>
    <t>黄兹炳</t>
  </si>
  <si>
    <t>郑新燕</t>
  </si>
  <si>
    <t>何颜任</t>
  </si>
  <si>
    <t>翁秀娜</t>
  </si>
  <si>
    <t>李柔仙</t>
  </si>
  <si>
    <t>张宝钰</t>
  </si>
  <si>
    <t>江璐露</t>
  </si>
  <si>
    <t>李锦丽</t>
  </si>
  <si>
    <t>李文茹</t>
  </si>
  <si>
    <t>吴名秋</t>
  </si>
  <si>
    <t>申霑</t>
  </si>
  <si>
    <t>钱博</t>
  </si>
  <si>
    <t>王莲花</t>
  </si>
  <si>
    <t>明思祺</t>
  </si>
  <si>
    <t>王冬梅</t>
  </si>
  <si>
    <t>王承</t>
  </si>
  <si>
    <t>羊秀美</t>
  </si>
  <si>
    <t>熊俊棋</t>
  </si>
  <si>
    <t>曾亚海</t>
  </si>
  <si>
    <t>吴贤丹</t>
  </si>
  <si>
    <t>潘孝平</t>
  </si>
  <si>
    <t>陈姿妙</t>
  </si>
  <si>
    <t>林之斌</t>
  </si>
  <si>
    <t>何梓瑜</t>
  </si>
  <si>
    <t>王雄丽</t>
  </si>
  <si>
    <t>毛国俱</t>
  </si>
  <si>
    <t>娄幸</t>
  </si>
  <si>
    <t>张渴鑫</t>
  </si>
  <si>
    <t>赵秀兰</t>
  </si>
  <si>
    <t>吴舒萍</t>
  </si>
  <si>
    <t>谭金月</t>
  </si>
  <si>
    <t>徐子涵</t>
  </si>
  <si>
    <t>赵敏</t>
  </si>
  <si>
    <t>李娇艳</t>
  </si>
  <si>
    <t>杨志芬</t>
  </si>
  <si>
    <t>张雯</t>
  </si>
  <si>
    <t>黎昱杉</t>
  </si>
  <si>
    <t>卢宛芳</t>
  </si>
  <si>
    <t>林川</t>
  </si>
  <si>
    <t>黎晓祯</t>
  </si>
  <si>
    <t>石萍</t>
  </si>
  <si>
    <t>王月玲</t>
  </si>
  <si>
    <t>郑奕</t>
  </si>
  <si>
    <t>陈科龙</t>
  </si>
  <si>
    <t>蔡神良</t>
  </si>
  <si>
    <t>黎正花</t>
  </si>
  <si>
    <t>丁鑫</t>
  </si>
  <si>
    <t>文振科</t>
  </si>
  <si>
    <t>刘晨梦</t>
  </si>
  <si>
    <t>吴燕萍</t>
  </si>
  <si>
    <t>王艳姗</t>
  </si>
  <si>
    <t>韦琛思</t>
  </si>
  <si>
    <t>翁一文</t>
  </si>
  <si>
    <t>符海玉</t>
  </si>
  <si>
    <t>蔡丽雯</t>
  </si>
  <si>
    <t>王裕銮</t>
  </si>
  <si>
    <t>郑义烨</t>
  </si>
  <si>
    <t>黄丽巧</t>
  </si>
  <si>
    <t>段美交</t>
  </si>
  <si>
    <t>陈咪咪</t>
  </si>
  <si>
    <t>张榕</t>
  </si>
  <si>
    <t>王思明</t>
  </si>
  <si>
    <t>蔡似梅</t>
  </si>
  <si>
    <t>莫冬兰</t>
  </si>
  <si>
    <t>苏怡</t>
  </si>
  <si>
    <t>王民政</t>
  </si>
  <si>
    <t>吴惠婷</t>
  </si>
  <si>
    <t>李凤韵</t>
  </si>
  <si>
    <t>羊小玲</t>
  </si>
  <si>
    <t>谢发彬</t>
  </si>
  <si>
    <t>王海萱</t>
  </si>
  <si>
    <t>李春慧</t>
  </si>
  <si>
    <t>张用龄</t>
  </si>
  <si>
    <t>刘真榕</t>
  </si>
  <si>
    <t>张宇桐</t>
  </si>
  <si>
    <t>陈南珍</t>
  </si>
  <si>
    <t>陈瑶珅</t>
  </si>
  <si>
    <t>王誉霏</t>
  </si>
  <si>
    <t>王冬灵</t>
  </si>
  <si>
    <t>黎紫琳</t>
  </si>
  <si>
    <t>苏小琦</t>
  </si>
  <si>
    <t>黎宾宾</t>
  </si>
  <si>
    <t>黄晶晶</t>
  </si>
  <si>
    <t>詹智熹</t>
  </si>
  <si>
    <t>吉晶晶</t>
  </si>
  <si>
    <t>王祚耿</t>
  </si>
  <si>
    <t>王初霏</t>
  </si>
  <si>
    <t>刘焕冬</t>
  </si>
  <si>
    <t>黎肇腾</t>
  </si>
  <si>
    <t>沈金凤</t>
  </si>
  <si>
    <t>张雅萍</t>
  </si>
  <si>
    <t>邹思琦</t>
  </si>
  <si>
    <t>宋晶晶</t>
  </si>
  <si>
    <t>吴欣波</t>
  </si>
  <si>
    <t>杨一夫</t>
  </si>
  <si>
    <t>谭华玥</t>
  </si>
  <si>
    <t>赵思洁</t>
  </si>
  <si>
    <t>唐榕蔚</t>
  </si>
  <si>
    <t>周莉</t>
  </si>
  <si>
    <t>王茹曼</t>
  </si>
  <si>
    <t>庄冰淇</t>
  </si>
  <si>
    <t>韦·文康</t>
  </si>
  <si>
    <t>陈晨</t>
  </si>
  <si>
    <t>王喜梅</t>
  </si>
  <si>
    <t>申露</t>
  </si>
  <si>
    <t>吉亚琴</t>
  </si>
  <si>
    <t>唐全玲</t>
  </si>
  <si>
    <t>薛婆保</t>
  </si>
  <si>
    <t>黄海利</t>
  </si>
  <si>
    <t>彭孝慈</t>
  </si>
  <si>
    <t>王雅游</t>
  </si>
  <si>
    <t>张海韵</t>
  </si>
  <si>
    <t>郑丽灵</t>
  </si>
  <si>
    <t>林珏谷</t>
  </si>
  <si>
    <t>陈柳君</t>
  </si>
  <si>
    <t>文苹妃</t>
  </si>
  <si>
    <t>陈菲</t>
  </si>
  <si>
    <t>王光源</t>
  </si>
  <si>
    <t>梁月英</t>
  </si>
  <si>
    <t>卢嘉昕</t>
  </si>
  <si>
    <t>孙学好</t>
  </si>
  <si>
    <t>徐少卿</t>
  </si>
  <si>
    <t>刘鲜</t>
  </si>
  <si>
    <t>孙显敏</t>
  </si>
  <si>
    <t>陈秋婵</t>
  </si>
  <si>
    <t>彭玉娇</t>
  </si>
  <si>
    <t>黎少莲</t>
  </si>
  <si>
    <t>李卓芯</t>
  </si>
  <si>
    <t>邢景睿</t>
  </si>
  <si>
    <t>谢昌娥</t>
  </si>
  <si>
    <t>吴静红</t>
  </si>
  <si>
    <t>蔡赤媚</t>
  </si>
  <si>
    <t>羊有菊</t>
  </si>
  <si>
    <t>吴小红</t>
  </si>
  <si>
    <t>冯桃</t>
  </si>
  <si>
    <t>林珊珊</t>
  </si>
  <si>
    <t>孟醒</t>
  </si>
  <si>
    <t>农玉妹</t>
  </si>
  <si>
    <t>杨阳</t>
  </si>
  <si>
    <t>林泽萍</t>
  </si>
  <si>
    <t>黎寿海</t>
  </si>
  <si>
    <t>符卿达</t>
  </si>
  <si>
    <t>龙籍弘</t>
  </si>
  <si>
    <t>符慧红</t>
  </si>
  <si>
    <t>邢丹婷</t>
  </si>
  <si>
    <t>周丽旗</t>
  </si>
  <si>
    <t>吴贺南</t>
  </si>
  <si>
    <t>梁文耕</t>
  </si>
  <si>
    <t>王文标</t>
  </si>
  <si>
    <t>吴卉卉</t>
  </si>
  <si>
    <t>李小娟</t>
  </si>
  <si>
    <t>谢静雯</t>
  </si>
  <si>
    <t>梁又斤</t>
  </si>
  <si>
    <t>王琳菊</t>
  </si>
  <si>
    <t>陈奕民</t>
  </si>
  <si>
    <t>吴金惠</t>
  </si>
  <si>
    <t>周吉春</t>
  </si>
  <si>
    <t>孙芋</t>
  </si>
  <si>
    <t>肖雨凤</t>
  </si>
  <si>
    <t>刘秀玉</t>
  </si>
  <si>
    <t>韩艳敏</t>
  </si>
  <si>
    <t>陈春桂</t>
  </si>
  <si>
    <t>王丽金</t>
  </si>
  <si>
    <t>陈言玲</t>
  </si>
  <si>
    <t>吴奇英</t>
  </si>
  <si>
    <t>林凡舒</t>
  </si>
  <si>
    <t>林世叶</t>
  </si>
  <si>
    <t>龙虹晓</t>
  </si>
  <si>
    <t>黎昌丽</t>
  </si>
  <si>
    <t>李安琪</t>
  </si>
  <si>
    <t>符梦菲</t>
  </si>
  <si>
    <t>王娇</t>
  </si>
  <si>
    <t>王昊</t>
  </si>
  <si>
    <t>陈丹丹</t>
  </si>
  <si>
    <t>文芳玲</t>
  </si>
  <si>
    <t>谢欢</t>
  </si>
  <si>
    <t>莫岳坤</t>
  </si>
  <si>
    <t>王红艳</t>
  </si>
  <si>
    <t>王朝霞</t>
  </si>
  <si>
    <t>曾悦</t>
  </si>
  <si>
    <t>梁其玉</t>
  </si>
  <si>
    <t>李亚球</t>
  </si>
  <si>
    <t>陈霞</t>
  </si>
  <si>
    <t>冯锦鸯</t>
  </si>
  <si>
    <t>文世龄</t>
  </si>
  <si>
    <t>邱昌倩</t>
  </si>
  <si>
    <t>颜英荣</t>
  </si>
  <si>
    <t>陈丹娱</t>
  </si>
  <si>
    <t>孙铭苑</t>
  </si>
  <si>
    <t>王青林</t>
  </si>
  <si>
    <t>黎美烨</t>
  </si>
  <si>
    <t>陈绵丹</t>
  </si>
  <si>
    <t>曹琳</t>
  </si>
  <si>
    <t>陈柏均</t>
  </si>
  <si>
    <t>陈玉婵</t>
  </si>
  <si>
    <t>曾德浩</t>
  </si>
  <si>
    <t>冯积君</t>
  </si>
  <si>
    <t>陈虹君</t>
  </si>
  <si>
    <t>李春福</t>
  </si>
  <si>
    <t>陈吉玲</t>
  </si>
  <si>
    <t>韦诗韵</t>
  </si>
  <si>
    <t>刘宇航</t>
  </si>
  <si>
    <t>黄美雅</t>
  </si>
  <si>
    <t>张美琳</t>
  </si>
  <si>
    <t>冯丹莹</t>
  </si>
  <si>
    <t>王海玲</t>
  </si>
  <si>
    <t>田银银</t>
  </si>
  <si>
    <t>冼小苗</t>
  </si>
  <si>
    <t>吴巧</t>
  </si>
  <si>
    <t>卢雨</t>
  </si>
  <si>
    <t>云娜</t>
  </si>
  <si>
    <t>符华薇</t>
  </si>
  <si>
    <t>罗涯旭</t>
  </si>
  <si>
    <t>陈传韦</t>
  </si>
  <si>
    <t>温秋怡</t>
  </si>
  <si>
    <t>臧会双</t>
  </si>
  <si>
    <t>林丹</t>
  </si>
  <si>
    <t>曾起津</t>
  </si>
  <si>
    <t>林志徽</t>
  </si>
  <si>
    <t>邱秋敏</t>
  </si>
  <si>
    <t>甘欣愉</t>
  </si>
  <si>
    <t>黄灵敏</t>
  </si>
  <si>
    <t>姚必文</t>
  </si>
  <si>
    <t>吴钟龙</t>
  </si>
  <si>
    <t>石丽娜</t>
  </si>
  <si>
    <t>符晓琳</t>
  </si>
  <si>
    <t>庞悦滢</t>
  </si>
  <si>
    <t>黄海慧</t>
  </si>
  <si>
    <t>方原</t>
  </si>
  <si>
    <t>刘美茜</t>
  </si>
  <si>
    <t>周晶晶</t>
  </si>
  <si>
    <t>杜海玉</t>
  </si>
  <si>
    <t>陈翠红</t>
  </si>
  <si>
    <t>熊咪</t>
  </si>
  <si>
    <t>陈双玉</t>
  </si>
  <si>
    <t>程维琦</t>
  </si>
  <si>
    <t>吴秀桂</t>
  </si>
  <si>
    <t>唐海文</t>
  </si>
  <si>
    <t>曾倩雯</t>
  </si>
  <si>
    <t>吴红梅</t>
  </si>
  <si>
    <t>邢诗贞</t>
  </si>
  <si>
    <t>陈蕾</t>
  </si>
  <si>
    <t>张建萍</t>
  </si>
  <si>
    <t>陈小云</t>
  </si>
  <si>
    <t>伍珊珊</t>
  </si>
  <si>
    <t>王晰</t>
  </si>
  <si>
    <t>黄山珊</t>
  </si>
  <si>
    <t>肖伊格</t>
  </si>
  <si>
    <t>李妍</t>
  </si>
  <si>
    <t>冯丹丹</t>
  </si>
  <si>
    <t>李欣</t>
  </si>
  <si>
    <t>黄云清</t>
  </si>
  <si>
    <t>谢星宇</t>
  </si>
  <si>
    <t>蔡教磊</t>
  </si>
  <si>
    <t>吴宗汝</t>
  </si>
  <si>
    <t>陈菲菲</t>
  </si>
  <si>
    <t>林怡敏</t>
  </si>
  <si>
    <t>王彩银</t>
  </si>
  <si>
    <t>郑萍</t>
  </si>
  <si>
    <t>吴海真</t>
  </si>
  <si>
    <t>符一凡</t>
  </si>
  <si>
    <t>谢夏微</t>
  </si>
  <si>
    <t>陈春潼</t>
  </si>
  <si>
    <t>李佳</t>
  </si>
  <si>
    <t>钟海玲</t>
  </si>
  <si>
    <t>程思清</t>
  </si>
  <si>
    <t>陈萌</t>
  </si>
  <si>
    <t>岑翠</t>
  </si>
  <si>
    <t>戴玉</t>
  </si>
  <si>
    <t>黎引业</t>
  </si>
  <si>
    <t>刘佳昂</t>
  </si>
  <si>
    <t>陈春萍</t>
  </si>
  <si>
    <t>蒋小介</t>
  </si>
  <si>
    <t>詹金苗</t>
  </si>
  <si>
    <t>陈美</t>
  </si>
  <si>
    <t>覃媛媛</t>
  </si>
  <si>
    <t>薛秋丽</t>
  </si>
  <si>
    <t>徐小妮</t>
  </si>
  <si>
    <t>周活</t>
  </si>
  <si>
    <t>王献珏</t>
  </si>
  <si>
    <t>蒋洁涵</t>
  </si>
  <si>
    <t>王昊东</t>
  </si>
  <si>
    <t>董欣怡</t>
  </si>
  <si>
    <t>苏春月</t>
  </si>
  <si>
    <t>宋雨格</t>
  </si>
  <si>
    <t>苏庆玲</t>
  </si>
  <si>
    <t>周亚曼</t>
  </si>
  <si>
    <t>符晓钰</t>
  </si>
  <si>
    <t>贺志荣</t>
  </si>
  <si>
    <t>吴少妹</t>
  </si>
  <si>
    <t xml:space="preserve">张巧巧 </t>
  </si>
  <si>
    <t>陈曼玉</t>
  </si>
  <si>
    <t>林婧</t>
  </si>
  <si>
    <t>马卓言</t>
  </si>
  <si>
    <t>王玉珍</t>
  </si>
  <si>
    <t>陈兴梁</t>
  </si>
  <si>
    <t>郑茜</t>
  </si>
  <si>
    <t>姚莹</t>
  </si>
  <si>
    <t>王振霞</t>
  </si>
  <si>
    <t>王小钻</t>
  </si>
  <si>
    <t>李小儒</t>
  </si>
  <si>
    <t>黄存绣</t>
  </si>
  <si>
    <t>陈清云</t>
  </si>
  <si>
    <t>叶佩玲</t>
  </si>
  <si>
    <t>赵雁南</t>
  </si>
  <si>
    <t>黄香坛</t>
  </si>
  <si>
    <t>张爱娇</t>
  </si>
  <si>
    <t>黎秋丽</t>
  </si>
  <si>
    <t>林诗童</t>
  </si>
  <si>
    <t>张婕妤</t>
  </si>
  <si>
    <t>莫娜</t>
  </si>
  <si>
    <t>苏姿羽</t>
  </si>
  <si>
    <t>韩惠妃</t>
  </si>
  <si>
    <t>林嫚</t>
  </si>
  <si>
    <t>吴丽梦</t>
  </si>
  <si>
    <t>刘金银</t>
  </si>
  <si>
    <t>罗沙</t>
  </si>
  <si>
    <t>李祥燕</t>
  </si>
  <si>
    <t>杨帆</t>
  </si>
  <si>
    <t>洪雪瑜</t>
  </si>
  <si>
    <t>王晓程</t>
  </si>
  <si>
    <t>饶陈芬</t>
  </si>
  <si>
    <t>李朝伦</t>
  </si>
  <si>
    <t>林竹</t>
  </si>
  <si>
    <t>王金娜</t>
  </si>
  <si>
    <t>邝晓惠</t>
  </si>
  <si>
    <t>刘顺静</t>
  </si>
  <si>
    <t>陈漾</t>
  </si>
  <si>
    <t>欧阳则一</t>
  </si>
  <si>
    <t>陈雨菲</t>
  </si>
  <si>
    <t>陈小君</t>
  </si>
  <si>
    <t>李继丹</t>
  </si>
  <si>
    <t>高文娟</t>
  </si>
  <si>
    <t>周佳</t>
  </si>
  <si>
    <t>刘亚珍</t>
  </si>
  <si>
    <t>蔡汝娜</t>
  </si>
  <si>
    <t>王康</t>
  </si>
  <si>
    <t>何潮潮</t>
  </si>
  <si>
    <t>李月华</t>
  </si>
  <si>
    <t>和占纯</t>
  </si>
  <si>
    <t>高慧敏</t>
  </si>
  <si>
    <t>王圣顺</t>
  </si>
  <si>
    <t>许海源</t>
  </si>
  <si>
    <t>王少完</t>
  </si>
  <si>
    <t>任洁</t>
  </si>
  <si>
    <t>黎金玲</t>
  </si>
  <si>
    <t>吉树武</t>
  </si>
  <si>
    <t>陈若媛</t>
  </si>
  <si>
    <t>裴王艳</t>
  </si>
  <si>
    <t>田宇宁</t>
  </si>
  <si>
    <t>麦金果</t>
  </si>
  <si>
    <t>符钰</t>
  </si>
  <si>
    <t>刘琼凡</t>
  </si>
  <si>
    <t>杨俊芳</t>
  </si>
  <si>
    <t>钟海学</t>
  </si>
  <si>
    <t>康同同</t>
  </si>
  <si>
    <t>秦浩洋</t>
  </si>
  <si>
    <t>沈宪茹</t>
  </si>
  <si>
    <t>李雨娜</t>
  </si>
  <si>
    <t>张艺璇</t>
  </si>
  <si>
    <t>李月春</t>
  </si>
  <si>
    <t>王立慧</t>
  </si>
  <si>
    <t>吴金珊</t>
  </si>
  <si>
    <t>覃荣艳</t>
  </si>
  <si>
    <t>文欣</t>
  </si>
  <si>
    <t>杨蕾</t>
  </si>
  <si>
    <t>李青</t>
  </si>
  <si>
    <t>翁小莉</t>
  </si>
  <si>
    <t>黎健妃</t>
  </si>
  <si>
    <t>吴丽华</t>
  </si>
  <si>
    <t>郭琤瑜</t>
  </si>
  <si>
    <t>卢小政</t>
  </si>
  <si>
    <t>黄恋云</t>
  </si>
  <si>
    <t>符芳慧</t>
  </si>
  <si>
    <t>吴德姣</t>
  </si>
  <si>
    <t>石雪萱</t>
  </si>
  <si>
    <t>李锦红</t>
  </si>
  <si>
    <t>欧哲彬</t>
  </si>
  <si>
    <t>张进雅</t>
  </si>
  <si>
    <t>李美妃</t>
  </si>
  <si>
    <t>龚小婷</t>
  </si>
  <si>
    <t>李文英</t>
  </si>
  <si>
    <t>欧燕芬</t>
  </si>
  <si>
    <t>陆美妃</t>
  </si>
  <si>
    <t>黎德霞</t>
  </si>
  <si>
    <t>蒋海梅</t>
  </si>
  <si>
    <t>吴玉暖</t>
  </si>
  <si>
    <t>李梅金</t>
  </si>
  <si>
    <t>曾慧霏</t>
  </si>
  <si>
    <t>徐丽丽</t>
  </si>
  <si>
    <t>邢漤情</t>
  </si>
  <si>
    <t>孔祥运</t>
  </si>
  <si>
    <t xml:space="preserve">石慧美 </t>
  </si>
  <si>
    <t>麦天成</t>
  </si>
  <si>
    <t>周悦</t>
  </si>
  <si>
    <t>邓森</t>
  </si>
  <si>
    <t>吴雪红</t>
  </si>
  <si>
    <t>邢晓雯</t>
  </si>
  <si>
    <t>张蕙</t>
  </si>
  <si>
    <t>苏珊珊</t>
  </si>
  <si>
    <t>陈海波</t>
  </si>
  <si>
    <t>吴伊洁</t>
  </si>
  <si>
    <t>邱钰欣</t>
  </si>
  <si>
    <t>陈初梅</t>
  </si>
  <si>
    <t>蔡真</t>
  </si>
  <si>
    <t>高莹</t>
  </si>
  <si>
    <t>宋宇扬</t>
  </si>
  <si>
    <t>容智莲</t>
  </si>
  <si>
    <t>梁亚团</t>
  </si>
  <si>
    <t>吴玲美</t>
  </si>
  <si>
    <t>邱雪莲</t>
  </si>
  <si>
    <t>黎善芬</t>
  </si>
  <si>
    <t>兰田靖</t>
  </si>
  <si>
    <t>吉秋靓</t>
  </si>
  <si>
    <t>王安杰</t>
  </si>
  <si>
    <t>郑惠春</t>
  </si>
  <si>
    <t>王惠玲</t>
  </si>
  <si>
    <t>文雅</t>
  </si>
  <si>
    <t>梁雷宇</t>
  </si>
  <si>
    <t>符爱蓉</t>
  </si>
  <si>
    <t>裴安丽</t>
  </si>
  <si>
    <t>符加卫</t>
  </si>
  <si>
    <t>房学舒</t>
  </si>
  <si>
    <t>羊益梅</t>
  </si>
  <si>
    <t>李德霞</t>
  </si>
  <si>
    <t>占薇薇</t>
  </si>
  <si>
    <t>林小颖</t>
  </si>
  <si>
    <t>许丹婷</t>
  </si>
  <si>
    <t>张陈忠</t>
  </si>
  <si>
    <t>罗夏萍</t>
  </si>
  <si>
    <t>符酩浩</t>
  </si>
  <si>
    <t>王宝儿</t>
  </si>
  <si>
    <t>朱珏莹</t>
  </si>
  <si>
    <t>陈海莹</t>
  </si>
  <si>
    <t>徐加凤</t>
  </si>
  <si>
    <t>林萍</t>
  </si>
  <si>
    <t>吉琼娟</t>
  </si>
  <si>
    <t>陈川湖</t>
  </si>
  <si>
    <t>黄玉环</t>
  </si>
  <si>
    <t>陈奕高</t>
  </si>
  <si>
    <t>张伟琦</t>
  </si>
  <si>
    <t>杨美月</t>
  </si>
  <si>
    <t>文寒欢</t>
  </si>
  <si>
    <t>黄巧妹</t>
  </si>
  <si>
    <t>鲍园</t>
  </si>
  <si>
    <t>高艳</t>
  </si>
  <si>
    <t>许慧稳</t>
  </si>
  <si>
    <t>侯慧慧</t>
  </si>
  <si>
    <t>李多科</t>
  </si>
  <si>
    <t>杜绍煌</t>
  </si>
  <si>
    <t>洪世恒</t>
  </si>
  <si>
    <t>张彩烨</t>
  </si>
  <si>
    <t>谭丽莹</t>
  </si>
  <si>
    <t>黄鸿青</t>
  </si>
  <si>
    <t>肖小柳</t>
  </si>
  <si>
    <t>吉春婷</t>
  </si>
  <si>
    <t>李淑怡</t>
  </si>
  <si>
    <t>桂小孟</t>
  </si>
  <si>
    <t>杨敏</t>
  </si>
  <si>
    <t>王达葵</t>
  </si>
  <si>
    <t>纪诗诗</t>
  </si>
  <si>
    <t>李爽</t>
  </si>
  <si>
    <t>罗雨柔</t>
  </si>
  <si>
    <t>李雪薇</t>
  </si>
  <si>
    <t>刘值谷</t>
  </si>
  <si>
    <t>陈亚桂</t>
  </si>
  <si>
    <t>周和芳</t>
  </si>
  <si>
    <t>莫粿粿</t>
  </si>
  <si>
    <t>黄庆馨</t>
  </si>
  <si>
    <t>张太存</t>
  </si>
  <si>
    <t>刘艳</t>
  </si>
  <si>
    <t>王春娇</t>
  </si>
  <si>
    <t>何芳杏</t>
  </si>
  <si>
    <t>蔡宛秀</t>
  </si>
  <si>
    <t>李瑶</t>
  </si>
  <si>
    <t>陈子銮</t>
  </si>
  <si>
    <t>张文佳</t>
  </si>
  <si>
    <t>林才钰</t>
  </si>
  <si>
    <t>陈叶玲</t>
  </si>
  <si>
    <t>王秋诗</t>
  </si>
  <si>
    <t>邱洪浩</t>
  </si>
  <si>
    <t>武照涵</t>
  </si>
  <si>
    <t>文瑞彬</t>
  </si>
  <si>
    <t>罗清</t>
  </si>
  <si>
    <t>符雪林</t>
  </si>
  <si>
    <t>吴雅珺</t>
  </si>
  <si>
    <t>许慧敏</t>
  </si>
  <si>
    <t>陈君君</t>
  </si>
  <si>
    <t>谢辉暖</t>
  </si>
  <si>
    <t>王秋君</t>
  </si>
  <si>
    <t>王玉春</t>
  </si>
  <si>
    <t>张湫鋆</t>
  </si>
  <si>
    <t>黎晓艺</t>
  </si>
  <si>
    <t>符丽纳</t>
  </si>
  <si>
    <t>王鑫洋</t>
  </si>
  <si>
    <t>陈丽春</t>
  </si>
  <si>
    <t>王学涯</t>
  </si>
  <si>
    <t>羊琼丽</t>
  </si>
  <si>
    <t>黄芳</t>
  </si>
  <si>
    <t>姚冬燕</t>
  </si>
  <si>
    <t>吉才恋</t>
  </si>
  <si>
    <t>陈家雄</t>
  </si>
  <si>
    <t>曾秀燕</t>
  </si>
  <si>
    <t>刘晓惠</t>
  </si>
  <si>
    <t>何文道</t>
  </si>
  <si>
    <t>林成龙</t>
  </si>
  <si>
    <t>莫少雨</t>
  </si>
  <si>
    <t>张健祥</t>
  </si>
  <si>
    <t>雷大松</t>
  </si>
  <si>
    <t>潘国英</t>
  </si>
  <si>
    <t>刘慧琴</t>
  </si>
  <si>
    <t>张咪</t>
  </si>
  <si>
    <t>邓振阳</t>
  </si>
  <si>
    <t>林芳如</t>
  </si>
  <si>
    <t>陈彩云</t>
  </si>
  <si>
    <t>罗盛通</t>
  </si>
  <si>
    <t>黄小琼</t>
  </si>
  <si>
    <t>苏明锐</t>
  </si>
  <si>
    <t>胡小荟</t>
  </si>
  <si>
    <t>谭欣悦</t>
  </si>
  <si>
    <t>林小翠</t>
  </si>
  <si>
    <t>王爱桃</t>
  </si>
  <si>
    <t>黄烨华</t>
  </si>
  <si>
    <t>李依函</t>
  </si>
  <si>
    <t>符祝厚</t>
  </si>
  <si>
    <t>陈善胜</t>
  </si>
  <si>
    <t>符式</t>
  </si>
  <si>
    <t>刘夏雨</t>
  </si>
  <si>
    <t>李斌</t>
  </si>
  <si>
    <t>李越</t>
  </si>
  <si>
    <t>马济钰</t>
  </si>
  <si>
    <t>邹雯雯</t>
  </si>
  <si>
    <t>庄海燕</t>
  </si>
  <si>
    <t>李克朝</t>
  </si>
  <si>
    <t>梁佳友</t>
  </si>
  <si>
    <t>何贤杨</t>
  </si>
  <si>
    <t>吴菊丽</t>
  </si>
  <si>
    <t>吴林丹</t>
  </si>
  <si>
    <t>吴琼峰</t>
  </si>
  <si>
    <t>陈乃桃</t>
  </si>
  <si>
    <t>李炳韵</t>
  </si>
  <si>
    <t>邱小燕</t>
  </si>
  <si>
    <t>黎传微</t>
  </si>
  <si>
    <t>黄永芳</t>
  </si>
  <si>
    <t>邓论鸿</t>
  </si>
  <si>
    <t>李扬雯</t>
  </si>
  <si>
    <t>陈丽金</t>
  </si>
  <si>
    <t>邓秋霞</t>
  </si>
  <si>
    <t>洪后迪</t>
  </si>
  <si>
    <t>吴茹</t>
  </si>
  <si>
    <t>陈旭</t>
  </si>
  <si>
    <t>梁懿懿</t>
  </si>
  <si>
    <t>王海霞</t>
  </si>
  <si>
    <t>叶艳敏</t>
  </si>
  <si>
    <t>潘乙婉</t>
  </si>
  <si>
    <t>黄昊霞</t>
  </si>
  <si>
    <t>古裕焕</t>
  </si>
  <si>
    <t>朱兰</t>
  </si>
  <si>
    <t>陈漫柳</t>
  </si>
  <si>
    <t>许瑞铭</t>
  </si>
  <si>
    <t>高来晓</t>
  </si>
  <si>
    <t>薛盛英</t>
  </si>
  <si>
    <t>田梦雅</t>
  </si>
  <si>
    <t>雷思颖</t>
  </si>
  <si>
    <t>龙濡</t>
  </si>
  <si>
    <t>赵姣</t>
  </si>
  <si>
    <t>王鹤霏</t>
  </si>
  <si>
    <t>莫芳瑜</t>
  </si>
  <si>
    <t>陈义松</t>
  </si>
  <si>
    <t>施美倩</t>
  </si>
  <si>
    <t>陈嘉颖</t>
  </si>
  <si>
    <t>符彩虹</t>
  </si>
  <si>
    <t>王芷萱</t>
  </si>
  <si>
    <t>余沁桐</t>
  </si>
  <si>
    <t>崔玉曼</t>
  </si>
  <si>
    <t>符莎莎</t>
  </si>
  <si>
    <t>陈秋如</t>
  </si>
  <si>
    <t>符美艳</t>
  </si>
  <si>
    <t>翁海花</t>
  </si>
  <si>
    <t>王旺鑫</t>
  </si>
  <si>
    <t>谢滢蔓</t>
  </si>
  <si>
    <t>陆元东</t>
  </si>
  <si>
    <t>黄少</t>
  </si>
  <si>
    <t>张琳</t>
  </si>
  <si>
    <t>李菲</t>
  </si>
  <si>
    <t>庄梦琪</t>
  </si>
  <si>
    <t>符赵霞</t>
  </si>
  <si>
    <t>黄金花</t>
  </si>
  <si>
    <t>龙禹</t>
  </si>
  <si>
    <t>邱天丽</t>
  </si>
  <si>
    <t>吴多昊</t>
  </si>
  <si>
    <t>彭萱逸</t>
  </si>
  <si>
    <t>彭雨思</t>
  </si>
  <si>
    <t>陈静怡</t>
  </si>
  <si>
    <t>赵月莲</t>
  </si>
  <si>
    <t>冯怡</t>
  </si>
  <si>
    <t>秦娜</t>
  </si>
  <si>
    <t>倪颖姬</t>
  </si>
  <si>
    <t>林明珠</t>
  </si>
  <si>
    <t>林再</t>
  </si>
  <si>
    <t>马敏宁</t>
  </si>
  <si>
    <t>杜嘉滢</t>
  </si>
  <si>
    <t>陈金花</t>
  </si>
  <si>
    <t>罗玲丽</t>
  </si>
  <si>
    <t>何那女</t>
  </si>
  <si>
    <t>潘玉叶</t>
  </si>
  <si>
    <t>成方琳</t>
  </si>
  <si>
    <t>羊兰花</t>
  </si>
  <si>
    <t>杨欣燏</t>
  </si>
  <si>
    <t>梁旭阳</t>
  </si>
  <si>
    <t>胡良好</t>
  </si>
  <si>
    <t>邓曼盈</t>
  </si>
  <si>
    <t>李文莹</t>
  </si>
  <si>
    <t>李日红</t>
  </si>
  <si>
    <t>周莹</t>
  </si>
  <si>
    <t>陈三</t>
  </si>
  <si>
    <t>王正照</t>
  </si>
  <si>
    <t>钟吉现</t>
  </si>
  <si>
    <t>王虹臻</t>
  </si>
  <si>
    <t>叶晓婕</t>
  </si>
  <si>
    <t>司晓晓</t>
  </si>
  <si>
    <t>王昌海</t>
  </si>
  <si>
    <t>陈小小</t>
  </si>
  <si>
    <t>符素怡</t>
  </si>
  <si>
    <t>邱雅林</t>
  </si>
  <si>
    <t>刘原秀</t>
  </si>
  <si>
    <t>段雨薇</t>
  </si>
  <si>
    <t>周慕洲</t>
  </si>
  <si>
    <t>王诗媛</t>
  </si>
  <si>
    <t>黄日莹</t>
  </si>
  <si>
    <t>何芳艳</t>
  </si>
  <si>
    <t>钟秀兰</t>
  </si>
  <si>
    <t>彭博伟</t>
  </si>
  <si>
    <t>姚池</t>
  </si>
  <si>
    <t>吴梦娴</t>
  </si>
  <si>
    <t>文诗彤</t>
  </si>
  <si>
    <t>李朝</t>
  </si>
  <si>
    <t>冯静</t>
  </si>
  <si>
    <t>邢妮雅</t>
  </si>
  <si>
    <t>王海姑</t>
  </si>
  <si>
    <t>彭寿凤</t>
  </si>
  <si>
    <t>吴立菊</t>
  </si>
  <si>
    <t>李惠珠</t>
  </si>
  <si>
    <t>韩逸蕊</t>
  </si>
  <si>
    <t>卢淑婷</t>
  </si>
  <si>
    <t>陈琼瓜</t>
  </si>
  <si>
    <t>韩芳</t>
  </si>
  <si>
    <t>叶冰冰</t>
  </si>
  <si>
    <t>张微</t>
  </si>
  <si>
    <t>谢根</t>
  </si>
  <si>
    <t>王花晓</t>
  </si>
  <si>
    <t>陈鹏妹</t>
  </si>
  <si>
    <t>陈玉宝</t>
  </si>
  <si>
    <t>曾家丹</t>
  </si>
  <si>
    <t>黄千千</t>
  </si>
  <si>
    <t>彭裕松</t>
  </si>
  <si>
    <t>韩玉珠</t>
  </si>
  <si>
    <t>叶高斌</t>
  </si>
  <si>
    <t>马书昕</t>
  </si>
  <si>
    <t>王金</t>
  </si>
  <si>
    <t>余珍娟</t>
  </si>
  <si>
    <t>王小萍</t>
  </si>
  <si>
    <t>陈惠完</t>
  </si>
  <si>
    <t>徐莹莹</t>
  </si>
  <si>
    <t>何玉花</t>
  </si>
  <si>
    <t>刘哲</t>
  </si>
  <si>
    <t>王娜</t>
  </si>
  <si>
    <t>肖丙璐</t>
  </si>
  <si>
    <t>符月芳</t>
  </si>
  <si>
    <t>吴海妹</t>
  </si>
  <si>
    <t>胡妹</t>
  </si>
  <si>
    <t>李肖玫</t>
  </si>
  <si>
    <t>陈益竹</t>
  </si>
  <si>
    <t>周倩</t>
  </si>
  <si>
    <t>陈燕霞</t>
  </si>
  <si>
    <t>唐于琏</t>
  </si>
  <si>
    <t>谢永博</t>
  </si>
  <si>
    <t>孟玲</t>
  </si>
  <si>
    <t>李光瑞</t>
  </si>
  <si>
    <t>林冰</t>
  </si>
  <si>
    <t>陈冠</t>
  </si>
  <si>
    <t>洪丽美</t>
  </si>
  <si>
    <t>王镛</t>
  </si>
  <si>
    <t>王露瑶</t>
  </si>
  <si>
    <t>陈曼莉</t>
  </si>
  <si>
    <t>黄芳蕾</t>
  </si>
  <si>
    <t>符慧娴</t>
  </si>
  <si>
    <t>袁艺齐</t>
  </si>
  <si>
    <t>张超敏</t>
  </si>
  <si>
    <t>张祖波</t>
  </si>
  <si>
    <t>邱千玥</t>
  </si>
  <si>
    <t>陈美乾</t>
  </si>
  <si>
    <t>郑皓轩</t>
  </si>
  <si>
    <t>陈茵茵</t>
  </si>
  <si>
    <t>莫朝什</t>
  </si>
  <si>
    <t>夏翠丽</t>
  </si>
  <si>
    <t>林晓瑜</t>
  </si>
  <si>
    <t>符乃凤</t>
  </si>
  <si>
    <t>陈嘉嘉</t>
  </si>
  <si>
    <t>包容</t>
  </si>
  <si>
    <t>罗曼玉</t>
  </si>
  <si>
    <t>符莉婵</t>
  </si>
  <si>
    <t>洪嘉怡</t>
  </si>
  <si>
    <t>陈虹羽</t>
  </si>
  <si>
    <t>符美利</t>
  </si>
  <si>
    <t>吴冬琴</t>
  </si>
  <si>
    <t>林舒婷</t>
  </si>
  <si>
    <t>陈壮</t>
  </si>
  <si>
    <t>吴启慧</t>
  </si>
  <si>
    <t>唐昌燕</t>
  </si>
  <si>
    <t>王桂芳</t>
  </si>
  <si>
    <t>林娟</t>
  </si>
  <si>
    <t>李冰虹</t>
  </si>
  <si>
    <t>吴雪霞</t>
  </si>
  <si>
    <t>陈文静</t>
  </si>
  <si>
    <t>林瑶</t>
  </si>
  <si>
    <t>陈文键</t>
  </si>
  <si>
    <t xml:space="preserve">吴带竹 </t>
  </si>
  <si>
    <t>吴佳琦</t>
  </si>
  <si>
    <t>邹丽娟</t>
  </si>
  <si>
    <t>汪佳茹</t>
  </si>
  <si>
    <t>周云青</t>
  </si>
  <si>
    <t>孟云馨</t>
  </si>
  <si>
    <t>林爱雄</t>
  </si>
  <si>
    <t>钟敏妮</t>
  </si>
  <si>
    <t>黄梦之</t>
  </si>
  <si>
    <t>刘小坤</t>
  </si>
  <si>
    <t>陈雨瑄</t>
  </si>
  <si>
    <t>张丰贤</t>
  </si>
  <si>
    <t>毛冬梅</t>
  </si>
  <si>
    <t>符博秀</t>
  </si>
  <si>
    <t>全业精</t>
  </si>
  <si>
    <t>卢珠拉</t>
  </si>
  <si>
    <t>何丽秋</t>
  </si>
  <si>
    <t>刘琳奇</t>
  </si>
  <si>
    <t>陈桂芬</t>
  </si>
  <si>
    <t>宋馥汝</t>
  </si>
  <si>
    <t>陈晓萍</t>
  </si>
  <si>
    <t>钱晚晴</t>
  </si>
  <si>
    <t>王汉春</t>
  </si>
  <si>
    <t>王丽伟</t>
  </si>
  <si>
    <t>吴清芳</t>
  </si>
  <si>
    <t>邓颖</t>
  </si>
  <si>
    <t>马莹莹</t>
  </si>
  <si>
    <t>杜雨馨</t>
  </si>
  <si>
    <t>高芳宇</t>
  </si>
  <si>
    <t>徐志萍</t>
  </si>
  <si>
    <t>郑淇</t>
  </si>
  <si>
    <t>林明紫</t>
  </si>
  <si>
    <t>潘玥彤</t>
  </si>
  <si>
    <t>苏蕾</t>
  </si>
  <si>
    <t>林晓莎</t>
  </si>
  <si>
    <t>符小丽</t>
  </si>
  <si>
    <t>李晓宇</t>
  </si>
  <si>
    <t>王乙琳</t>
  </si>
  <si>
    <t>李春燕</t>
  </si>
  <si>
    <t>颜斌珍</t>
  </si>
  <si>
    <t>何爱林</t>
  </si>
  <si>
    <t>杨玉莹</t>
  </si>
  <si>
    <t>莫盈</t>
  </si>
  <si>
    <t>谢云姣</t>
  </si>
  <si>
    <t>黎惠源</t>
  </si>
  <si>
    <t>甘小碧</t>
  </si>
  <si>
    <t>周美慧</t>
  </si>
  <si>
    <t>金蕊</t>
  </si>
  <si>
    <t>潘初莲</t>
  </si>
  <si>
    <t>刘梦佳</t>
  </si>
  <si>
    <t>刘海晶</t>
  </si>
  <si>
    <t>林丽洁</t>
  </si>
  <si>
    <t>王丽珍</t>
  </si>
  <si>
    <t>陈茹莹</t>
  </si>
  <si>
    <t>李海星</t>
  </si>
  <si>
    <t>陈冬梅</t>
  </si>
  <si>
    <t>李文丹</t>
  </si>
  <si>
    <t>杨佳丽</t>
  </si>
  <si>
    <t>曲嘉兵</t>
  </si>
  <si>
    <t>陈云仙</t>
  </si>
  <si>
    <t>冯周婷</t>
  </si>
  <si>
    <t>谭璨</t>
  </si>
  <si>
    <t>周文菁</t>
  </si>
  <si>
    <t>陈玺任</t>
  </si>
  <si>
    <t>章思蕾</t>
  </si>
  <si>
    <t>杨莉</t>
  </si>
  <si>
    <t>张薰匀</t>
  </si>
  <si>
    <t>詹美清</t>
  </si>
  <si>
    <t>王彩清</t>
  </si>
  <si>
    <t>冼丽彬</t>
  </si>
  <si>
    <t>符贤娥</t>
  </si>
  <si>
    <t>唐聪霞</t>
  </si>
  <si>
    <t>陈云芳</t>
  </si>
  <si>
    <t>洪滔</t>
  </si>
  <si>
    <t>卓小丽</t>
  </si>
  <si>
    <t>梁艳花</t>
  </si>
  <si>
    <t>李静文</t>
  </si>
  <si>
    <t>蔡宛容</t>
  </si>
  <si>
    <t>黄婧梅</t>
  </si>
  <si>
    <t>邢彦妮</t>
  </si>
  <si>
    <t>郑玲</t>
  </si>
  <si>
    <t>羊庆彩</t>
  </si>
  <si>
    <t>李叶梅</t>
  </si>
  <si>
    <t>林道繁</t>
  </si>
  <si>
    <t>吴亚姑</t>
  </si>
  <si>
    <t>蒙小妹</t>
  </si>
  <si>
    <t>周女桢</t>
  </si>
  <si>
    <t>王诗媚</t>
  </si>
  <si>
    <t>王彩丹</t>
  </si>
  <si>
    <t>陈敏纳</t>
  </si>
  <si>
    <t>李瑜轩</t>
  </si>
  <si>
    <t>王栋</t>
  </si>
  <si>
    <t>唐开睿</t>
  </si>
  <si>
    <t>周航</t>
  </si>
  <si>
    <t>戴丽</t>
  </si>
  <si>
    <t>文昌婷</t>
  </si>
  <si>
    <t>王荣丹</t>
  </si>
  <si>
    <t>杨碧娜</t>
  </si>
  <si>
    <t>谢君</t>
  </si>
  <si>
    <t>蔡静</t>
  </si>
  <si>
    <t>邢益好</t>
  </si>
  <si>
    <t>符史政</t>
  </si>
  <si>
    <t>张晓旭</t>
  </si>
  <si>
    <t>陈皇圳</t>
  </si>
  <si>
    <t>陈思锜</t>
  </si>
  <si>
    <t>王雅萍</t>
  </si>
  <si>
    <t>吴原榕</t>
  </si>
  <si>
    <t>杨丽红</t>
  </si>
  <si>
    <t>黄晓莹</t>
  </si>
  <si>
    <t>韩大海萨哈博琪</t>
  </si>
  <si>
    <t>范珊珊</t>
  </si>
  <si>
    <t>冉夏欢</t>
  </si>
  <si>
    <t>王佳珏</t>
  </si>
  <si>
    <t>许春香</t>
  </si>
  <si>
    <t>符文荟</t>
  </si>
  <si>
    <t>林彩艳</t>
  </si>
  <si>
    <t>李亚开</t>
  </si>
  <si>
    <t>陈保金</t>
  </si>
  <si>
    <t>龚娟</t>
  </si>
  <si>
    <t>高雨萌</t>
  </si>
  <si>
    <t>梅曼秋</t>
  </si>
  <si>
    <t>王柳</t>
  </si>
  <si>
    <t>郭江霞</t>
  </si>
  <si>
    <t>王祚棋</t>
  </si>
  <si>
    <t>蔡兴南</t>
  </si>
  <si>
    <t>朱龙聪</t>
  </si>
  <si>
    <t>梁孟嘉</t>
  </si>
  <si>
    <t>王赢易</t>
  </si>
  <si>
    <t>罗妍艾</t>
  </si>
  <si>
    <t>叶琳</t>
  </si>
  <si>
    <t>罗芬</t>
  </si>
  <si>
    <t>陈小满</t>
  </si>
  <si>
    <t>续莎</t>
  </si>
  <si>
    <t>唐祥姨</t>
  </si>
  <si>
    <t>帅旭</t>
  </si>
  <si>
    <t>韩欣玉</t>
  </si>
  <si>
    <t>麦汝婷</t>
  </si>
  <si>
    <t>张莹</t>
  </si>
  <si>
    <t>宗明明</t>
  </si>
  <si>
    <t>林芳青</t>
  </si>
  <si>
    <t xml:space="preserve"> 陈丽吉</t>
  </si>
  <si>
    <t>吴承忠</t>
  </si>
  <si>
    <t>黄美琪</t>
  </si>
  <si>
    <t>冼淑云</t>
  </si>
  <si>
    <t>陈坤菊</t>
  </si>
  <si>
    <t>陈润</t>
  </si>
  <si>
    <t>包晓明</t>
  </si>
  <si>
    <t>陈海计</t>
  </si>
  <si>
    <t>邢雪喜</t>
  </si>
  <si>
    <t>何生月</t>
  </si>
  <si>
    <t>王咪咪</t>
  </si>
  <si>
    <t>王文</t>
  </si>
  <si>
    <t>赵昕冉</t>
  </si>
  <si>
    <t>林红余</t>
  </si>
  <si>
    <t>刘美艳</t>
  </si>
  <si>
    <t>钟丽娜</t>
  </si>
  <si>
    <t>羊春娲</t>
  </si>
  <si>
    <t>李杰元</t>
  </si>
  <si>
    <t>符有诗</t>
  </si>
  <si>
    <t>吴敏</t>
  </si>
  <si>
    <t>郑君如</t>
  </si>
  <si>
    <t>肖世芬</t>
  </si>
  <si>
    <t>陈惠仪</t>
  </si>
  <si>
    <t>许春晓</t>
  </si>
  <si>
    <t>刘园</t>
  </si>
  <si>
    <t>宋方霞</t>
  </si>
  <si>
    <t>符燕丽</t>
  </si>
  <si>
    <t>莫春梅</t>
  </si>
  <si>
    <t>谢欣</t>
  </si>
  <si>
    <t>秦凡文</t>
  </si>
  <si>
    <t>郑莉虹</t>
  </si>
  <si>
    <t>何嘉嘉</t>
  </si>
  <si>
    <t>郑淑婉</t>
  </si>
  <si>
    <t>梁泰</t>
  </si>
  <si>
    <t>庞苑之</t>
  </si>
  <si>
    <t>李婧</t>
  </si>
  <si>
    <t>王和艳</t>
  </si>
  <si>
    <t>何思雨</t>
  </si>
  <si>
    <t>陈柏旭</t>
  </si>
  <si>
    <t>吴雪珍</t>
  </si>
  <si>
    <t>&amp;#160;苏小浩</t>
  </si>
  <si>
    <t>刘爱云</t>
  </si>
  <si>
    <t>黄陈莲</t>
  </si>
  <si>
    <t>甄洙</t>
  </si>
  <si>
    <t>彭晓妹</t>
  </si>
  <si>
    <t>邹素贞</t>
  </si>
  <si>
    <t>胡琳琳</t>
  </si>
  <si>
    <t>邢景淑</t>
  </si>
  <si>
    <t>陈汉翠</t>
  </si>
  <si>
    <t>吴春翠</t>
  </si>
  <si>
    <t>卓跃壮</t>
  </si>
  <si>
    <t>符乃元</t>
  </si>
  <si>
    <t>梁倩</t>
  </si>
  <si>
    <t>邹欢</t>
  </si>
  <si>
    <t>杨灵强</t>
  </si>
  <si>
    <t>陈梅</t>
  </si>
  <si>
    <t>郑鸿磊</t>
  </si>
  <si>
    <t>邢贵龙</t>
  </si>
  <si>
    <t>曾丹丹</t>
  </si>
  <si>
    <t>邹雨梦</t>
  </si>
  <si>
    <t>许炳菲</t>
  </si>
  <si>
    <t>周慧</t>
  </si>
  <si>
    <t>王丹萍</t>
  </si>
  <si>
    <t>黄诗淇</t>
  </si>
  <si>
    <t>王鸿飞</t>
  </si>
  <si>
    <t>王诗彤</t>
  </si>
  <si>
    <t>蔡逸霖</t>
  </si>
  <si>
    <t>郑纯霞</t>
  </si>
  <si>
    <t>徐木交</t>
  </si>
  <si>
    <t>庄丽娴</t>
  </si>
  <si>
    <t>符惠瑜</t>
  </si>
  <si>
    <t>余海宁</t>
  </si>
  <si>
    <t>彭舒凤</t>
  </si>
  <si>
    <t>符莎易</t>
  </si>
  <si>
    <t>陈春晓</t>
  </si>
  <si>
    <t>曾初月</t>
  </si>
  <si>
    <t>梁顾競</t>
  </si>
  <si>
    <t>符倩瑜</t>
  </si>
  <si>
    <t>王先清</t>
  </si>
  <si>
    <t>高静文</t>
  </si>
  <si>
    <t>陈引姑</t>
  </si>
  <si>
    <t>韩碧虹</t>
  </si>
  <si>
    <t>伍利君</t>
  </si>
  <si>
    <t>李晓涵</t>
  </si>
  <si>
    <t>吴树宁</t>
  </si>
  <si>
    <t>王嘉琪</t>
  </si>
  <si>
    <t>黄小楠</t>
  </si>
  <si>
    <t xml:space="preserve"> 符燕莹</t>
  </si>
  <si>
    <t>颜光钰</t>
  </si>
  <si>
    <t>庞广灵</t>
  </si>
  <si>
    <t>符茹</t>
  </si>
  <si>
    <t>李海艳</t>
  </si>
  <si>
    <t>石湘洁</t>
  </si>
  <si>
    <t>邱艳婷</t>
  </si>
  <si>
    <t>刘仙玉</t>
  </si>
  <si>
    <t>符伟勇</t>
  </si>
  <si>
    <t>黄诗勤</t>
  </si>
  <si>
    <t>邓雪桃</t>
  </si>
  <si>
    <t>梁姑美</t>
  </si>
  <si>
    <t>钟楠</t>
  </si>
  <si>
    <t>车小行</t>
  </si>
  <si>
    <t>杨程萍</t>
  </si>
  <si>
    <t>谢慧芬</t>
  </si>
  <si>
    <t>陈梦</t>
  </si>
  <si>
    <t>刘求成</t>
  </si>
  <si>
    <t>李杨辉</t>
  </si>
  <si>
    <t>邱勋丽</t>
  </si>
  <si>
    <t>刘伯映</t>
  </si>
  <si>
    <t>英金敏</t>
  </si>
  <si>
    <t>王明薇</t>
  </si>
  <si>
    <t>朱威超</t>
  </si>
  <si>
    <t>王一桔</t>
  </si>
  <si>
    <t>陈泱蓉</t>
  </si>
  <si>
    <t>黄夏梦</t>
  </si>
  <si>
    <t>莫婷婷</t>
  </si>
  <si>
    <t>陈宝桦</t>
  </si>
  <si>
    <t>王蔚</t>
  </si>
  <si>
    <t>赵仪祯</t>
  </si>
  <si>
    <t>吴银雪</t>
  </si>
  <si>
    <t>邢贞辉</t>
  </si>
  <si>
    <t>王莉婷</t>
  </si>
  <si>
    <t>杨箫</t>
  </si>
  <si>
    <t>孙铭阳</t>
  </si>
  <si>
    <t>林益花</t>
  </si>
  <si>
    <t>颜绮琳</t>
  </si>
  <si>
    <t>王家欢</t>
  </si>
  <si>
    <t>唐婷婷</t>
  </si>
  <si>
    <t>赵航</t>
  </si>
  <si>
    <t>刘文文</t>
  </si>
  <si>
    <t>黄嘉玲</t>
  </si>
  <si>
    <t>刘小冰</t>
  </si>
  <si>
    <t>钟梨桂</t>
  </si>
  <si>
    <t>陈紫滢</t>
  </si>
  <si>
    <t>叶晓琳</t>
  </si>
  <si>
    <t>陈倩倩</t>
  </si>
  <si>
    <t>万容</t>
  </si>
  <si>
    <t>葛格</t>
  </si>
  <si>
    <t>詹晓妹</t>
  </si>
  <si>
    <t>路璐</t>
  </si>
  <si>
    <t>杨婷</t>
  </si>
  <si>
    <t>陈芳莹</t>
  </si>
  <si>
    <t>符方蕊</t>
  </si>
  <si>
    <t>吕莹莹</t>
  </si>
  <si>
    <t>蒙秀文</t>
  </si>
  <si>
    <t>丁怡</t>
  </si>
  <si>
    <t>吴家月</t>
  </si>
  <si>
    <t>王茹倩</t>
  </si>
  <si>
    <t>陈天君</t>
  </si>
  <si>
    <t>高珊珊</t>
  </si>
  <si>
    <t>高假连</t>
  </si>
  <si>
    <t>符家绵</t>
  </si>
  <si>
    <t>侯金杏</t>
  </si>
  <si>
    <t>史苓希</t>
  </si>
  <si>
    <t>文美方</t>
  </si>
  <si>
    <t>张梦莹</t>
  </si>
  <si>
    <t>林发坤</t>
  </si>
  <si>
    <t>林颖</t>
  </si>
  <si>
    <t>盛广雪</t>
  </si>
  <si>
    <t>朱立华</t>
  </si>
  <si>
    <t>周怡娴</t>
  </si>
  <si>
    <t>游冬梅</t>
  </si>
  <si>
    <t>王小文</t>
  </si>
  <si>
    <t>陈积科</t>
  </si>
  <si>
    <t>郑晓雅</t>
  </si>
  <si>
    <t>王佳怡</t>
  </si>
  <si>
    <t>黄思思</t>
  </si>
  <si>
    <t>刘泽珊</t>
  </si>
  <si>
    <t>曾钰瑾</t>
  </si>
  <si>
    <t>陈丽倩</t>
  </si>
  <si>
    <t>蓝晶晶</t>
  </si>
  <si>
    <t>罗兴吉</t>
  </si>
  <si>
    <t>卢苹</t>
  </si>
  <si>
    <t>龚彦予</t>
  </si>
  <si>
    <t>王亮</t>
  </si>
  <si>
    <t>叶可飘</t>
  </si>
  <si>
    <t>苏彤</t>
  </si>
  <si>
    <t>颜文帅</t>
  </si>
  <si>
    <t>王乙曼</t>
  </si>
  <si>
    <t>杨嫚</t>
  </si>
  <si>
    <t>陈彩蝶</t>
  </si>
  <si>
    <t>苏雯</t>
  </si>
  <si>
    <t>张江溢</t>
  </si>
  <si>
    <t>容倩妙</t>
  </si>
  <si>
    <t>赵晓杭</t>
  </si>
  <si>
    <t>杨咪</t>
  </si>
  <si>
    <t>孔秋玲</t>
  </si>
  <si>
    <t>陈立淑</t>
  </si>
  <si>
    <t>张力月</t>
  </si>
  <si>
    <t>吴婧</t>
  </si>
  <si>
    <t>邓冬丽</t>
  </si>
  <si>
    <t>潘洁</t>
  </si>
  <si>
    <t>曾莹莹</t>
  </si>
  <si>
    <t>韩丁元</t>
  </si>
  <si>
    <t>陈夏珠</t>
  </si>
  <si>
    <t>王晓敏</t>
  </si>
  <si>
    <t>蔡玉灵</t>
  </si>
  <si>
    <t>潘佳荔</t>
  </si>
  <si>
    <t>姜林茂</t>
  </si>
  <si>
    <t>陈云娜</t>
  </si>
  <si>
    <t>王和香</t>
  </si>
  <si>
    <t>符开妍</t>
  </si>
  <si>
    <t>符国爱</t>
  </si>
  <si>
    <t>刘新然</t>
  </si>
  <si>
    <t>陈益娇</t>
  </si>
  <si>
    <t>王彩琳</t>
  </si>
  <si>
    <t>李嘉嘉</t>
  </si>
  <si>
    <t>梁湘</t>
  </si>
  <si>
    <t>吴盛</t>
  </si>
  <si>
    <t>刘芳燕</t>
  </si>
  <si>
    <t>李运睿</t>
  </si>
  <si>
    <t>关宝杰</t>
  </si>
  <si>
    <t>陈泽琪</t>
  </si>
  <si>
    <t>符小茹</t>
  </si>
  <si>
    <t>李晓雪</t>
  </si>
  <si>
    <t>李灿</t>
  </si>
  <si>
    <t>黄斌</t>
  </si>
  <si>
    <t>陈诚郁</t>
  </si>
  <si>
    <t>黄子彤</t>
  </si>
  <si>
    <t>杨桂彩</t>
  </si>
  <si>
    <t>周亚</t>
  </si>
  <si>
    <t>张金英</t>
  </si>
  <si>
    <t>陈晓阳</t>
  </si>
  <si>
    <t>苏莹</t>
  </si>
  <si>
    <t>林春娘</t>
  </si>
  <si>
    <t>王宝银</t>
  </si>
  <si>
    <t>林蕾</t>
  </si>
  <si>
    <t>王楚雁</t>
  </si>
  <si>
    <t>邹怡</t>
  </si>
  <si>
    <t>林诗雅</t>
  </si>
  <si>
    <t>吴倩倩</t>
  </si>
  <si>
    <t>周春伶</t>
  </si>
  <si>
    <t>周小琴</t>
  </si>
  <si>
    <t>胡张瑞</t>
  </si>
  <si>
    <t>方文钰</t>
  </si>
  <si>
    <t>林小琴</t>
  </si>
  <si>
    <t>吴俏</t>
  </si>
  <si>
    <t>吴杰</t>
  </si>
  <si>
    <t>李冬香</t>
  </si>
  <si>
    <t>林姝含</t>
  </si>
  <si>
    <t>苏丽晓</t>
  </si>
  <si>
    <t>廖心莹</t>
  </si>
  <si>
    <t>王丰姑</t>
  </si>
  <si>
    <t>邹辉</t>
  </si>
  <si>
    <t>欧文婕</t>
  </si>
  <si>
    <t>王若彤</t>
  </si>
  <si>
    <t>陈乙红</t>
  </si>
  <si>
    <t>文亚倩</t>
  </si>
  <si>
    <t>康贝贝</t>
  </si>
  <si>
    <t>刘楠</t>
  </si>
  <si>
    <t>邓淑燕</t>
  </si>
  <si>
    <t>羊家博</t>
  </si>
  <si>
    <t>张佳园</t>
  </si>
  <si>
    <t>林慧慧</t>
  </si>
  <si>
    <t>陈元妮</t>
  </si>
  <si>
    <t>叶碧菁</t>
  </si>
  <si>
    <t>刘依帆</t>
  </si>
  <si>
    <t>曾曼曼</t>
  </si>
  <si>
    <t>罗蓉慧</t>
  </si>
  <si>
    <t>邢至佳</t>
  </si>
  <si>
    <t>符玉芬</t>
  </si>
  <si>
    <t>黄萌</t>
  </si>
  <si>
    <t>王艺雯</t>
  </si>
  <si>
    <t>叶锐</t>
  </si>
  <si>
    <t>王文晴</t>
  </si>
  <si>
    <t>李云漂</t>
  </si>
  <si>
    <t>黄彩荧</t>
  </si>
  <si>
    <t>叶柳媚</t>
  </si>
  <si>
    <t>李海南</t>
  </si>
  <si>
    <t>吴兴鹏</t>
  </si>
  <si>
    <t>罗王欣</t>
  </si>
  <si>
    <t>李佩茜</t>
  </si>
  <si>
    <t>李嘉敏</t>
  </si>
  <si>
    <t>刘海慧</t>
  </si>
  <si>
    <t>黎经史</t>
  </si>
  <si>
    <t>刘琼美</t>
  </si>
  <si>
    <t>杨萍</t>
  </si>
  <si>
    <t>李有榕</t>
  </si>
  <si>
    <t>梁惠霖</t>
  </si>
  <si>
    <t>吴小丽</t>
  </si>
  <si>
    <t>邢金玉</t>
  </si>
  <si>
    <t>唐海红</t>
  </si>
  <si>
    <t>田野</t>
  </si>
  <si>
    <t>陈秋婷</t>
  </si>
  <si>
    <t>孔子媚</t>
  </si>
  <si>
    <t>李超</t>
  </si>
  <si>
    <t>刘才女</t>
  </si>
  <si>
    <t>蔡汝林</t>
  </si>
  <si>
    <t>陈先华</t>
  </si>
  <si>
    <t>邱杨慧</t>
  </si>
  <si>
    <t>赵衍珥</t>
  </si>
  <si>
    <t>吴林敏</t>
  </si>
  <si>
    <t>吴文娇</t>
  </si>
  <si>
    <t>王科</t>
  </si>
  <si>
    <t>陈梦艺</t>
  </si>
  <si>
    <t>黄秋梅</t>
  </si>
  <si>
    <t>王雨微</t>
  </si>
  <si>
    <t>唐锟柯</t>
  </si>
  <si>
    <t>杜玉枫</t>
  </si>
  <si>
    <t>程炜烨</t>
  </si>
  <si>
    <t>谢焮焮</t>
  </si>
  <si>
    <t>孙雪鹏</t>
  </si>
  <si>
    <t>王书慧</t>
  </si>
  <si>
    <t>黄晓雪</t>
  </si>
  <si>
    <t>吴姗</t>
  </si>
  <si>
    <t>谢芬</t>
  </si>
  <si>
    <t>陈凤旋</t>
  </si>
  <si>
    <t>钟呈慧</t>
  </si>
  <si>
    <t>梁银</t>
  </si>
  <si>
    <t>林露琴</t>
  </si>
  <si>
    <t>杨婉</t>
  </si>
  <si>
    <t>王玉仙</t>
  </si>
  <si>
    <t>陈海欣</t>
  </si>
  <si>
    <t>詹晓瑾</t>
  </si>
  <si>
    <t>曾小云</t>
  </si>
  <si>
    <t>张睿</t>
  </si>
  <si>
    <t>李林妹</t>
  </si>
  <si>
    <t>夏李慧</t>
  </si>
  <si>
    <t>吴健</t>
  </si>
  <si>
    <t>符仕颖</t>
  </si>
  <si>
    <t>韩婉婷</t>
  </si>
  <si>
    <t>林苑</t>
  </si>
  <si>
    <t>陈来喜</t>
  </si>
  <si>
    <t>王家昌</t>
  </si>
  <si>
    <t>郭雅曼</t>
  </si>
  <si>
    <t>薛丽娜</t>
  </si>
  <si>
    <t>王云</t>
  </si>
  <si>
    <t>洪子田</t>
  </si>
  <si>
    <t>周羽优</t>
  </si>
  <si>
    <t>杨亚昕</t>
  </si>
  <si>
    <t>苏朝霓</t>
  </si>
  <si>
    <t>王淑女</t>
  </si>
  <si>
    <t>陈凤慧</t>
  </si>
  <si>
    <t>翁娇丽</t>
  </si>
  <si>
    <t>郑慧芬</t>
  </si>
  <si>
    <t>李彦容</t>
  </si>
  <si>
    <t>郑璐</t>
  </si>
  <si>
    <t>李岩妃</t>
  </si>
  <si>
    <t>王芬</t>
  </si>
  <si>
    <t>李海颜</t>
  </si>
  <si>
    <t>汤博芬</t>
  </si>
  <si>
    <t>张丹</t>
  </si>
  <si>
    <t>邱紫欣</t>
  </si>
  <si>
    <t>黎欣欣</t>
  </si>
  <si>
    <t>符江池</t>
  </si>
  <si>
    <t>黄玉榕</t>
  </si>
  <si>
    <t>吉婷婷</t>
  </si>
  <si>
    <t>朱琳</t>
  </si>
  <si>
    <t>柯茹</t>
  </si>
  <si>
    <t>吴振颖</t>
  </si>
  <si>
    <t>陈薇</t>
  </si>
  <si>
    <t>云丽青</t>
  </si>
  <si>
    <t>潘宏</t>
  </si>
  <si>
    <t>符秋春</t>
  </si>
  <si>
    <t>张熙健</t>
  </si>
  <si>
    <t>苏静</t>
  </si>
  <si>
    <t>庄瑾怡</t>
  </si>
  <si>
    <t>王妮</t>
  </si>
  <si>
    <t>朱炎</t>
  </si>
  <si>
    <t>黄秋燕</t>
  </si>
  <si>
    <t>刘英杰</t>
  </si>
  <si>
    <t>邢雯雯</t>
  </si>
  <si>
    <t>黄宇恒</t>
  </si>
  <si>
    <t>许彩熊</t>
  </si>
  <si>
    <t>何彩丽</t>
  </si>
  <si>
    <t>蒲佳雪</t>
  </si>
  <si>
    <t>符琼贤</t>
  </si>
  <si>
    <t>郭紫雯</t>
  </si>
  <si>
    <t>崔雯</t>
  </si>
  <si>
    <t>柯琦丹</t>
  </si>
  <si>
    <t>吴丹丹</t>
  </si>
  <si>
    <t>周吉慧</t>
  </si>
  <si>
    <t>许罗丹</t>
  </si>
  <si>
    <t>司会娟</t>
  </si>
  <si>
    <t>张洪</t>
  </si>
  <si>
    <t>何汶颖</t>
  </si>
  <si>
    <t>陈婆春</t>
  </si>
  <si>
    <t>黎观荣</t>
  </si>
  <si>
    <t>朱江萱</t>
  </si>
  <si>
    <t>王琼莹</t>
  </si>
  <si>
    <t>陈镜名</t>
  </si>
  <si>
    <t>谭德娥</t>
  </si>
  <si>
    <t>林文茜</t>
  </si>
  <si>
    <t>李玉妹</t>
  </si>
  <si>
    <t>邱朝娴</t>
  </si>
  <si>
    <t>熊建兰</t>
  </si>
  <si>
    <t>吴虹臻</t>
  </si>
  <si>
    <t>丛超逸</t>
  </si>
  <si>
    <t>罗英梅</t>
  </si>
  <si>
    <t>吴源洁</t>
  </si>
  <si>
    <t>刘盼</t>
  </si>
  <si>
    <t>吴桂香</t>
  </si>
  <si>
    <t>何子祺</t>
  </si>
  <si>
    <t>陈积雅</t>
  </si>
  <si>
    <t>周璇</t>
  </si>
  <si>
    <t>肖丽</t>
  </si>
  <si>
    <t>刘丽娜</t>
  </si>
  <si>
    <t>林娇</t>
  </si>
  <si>
    <t>张余曼</t>
  </si>
  <si>
    <t>卢燕妃</t>
  </si>
  <si>
    <t>詹兴裕</t>
  </si>
  <si>
    <t>赵春花</t>
  </si>
  <si>
    <t>李雪梅</t>
  </si>
  <si>
    <t>黄秋驰</t>
  </si>
  <si>
    <t>赵艳辉</t>
  </si>
  <si>
    <t>李杏</t>
  </si>
  <si>
    <t>罗鸿雁</t>
  </si>
  <si>
    <t>钟洁滢</t>
  </si>
  <si>
    <t>蔡碧霜</t>
  </si>
  <si>
    <t>高春慧</t>
  </si>
  <si>
    <t>陈振翔</t>
  </si>
  <si>
    <t>冯佳</t>
  </si>
  <si>
    <t>刘尚阳</t>
  </si>
  <si>
    <t>黄少燕</t>
  </si>
  <si>
    <t>高云品</t>
  </si>
  <si>
    <t>万龙</t>
  </si>
  <si>
    <t>何鑫雨</t>
  </si>
  <si>
    <t>吴敏艳</t>
  </si>
  <si>
    <t>羊娇娇</t>
  </si>
  <si>
    <t>陈方伯</t>
  </si>
  <si>
    <t>金慧芳</t>
  </si>
  <si>
    <t>王慧娜</t>
  </si>
  <si>
    <t>羊英瑛</t>
  </si>
  <si>
    <t>周欣欣</t>
  </si>
  <si>
    <t>陈礼意</t>
  </si>
  <si>
    <t>孟翔</t>
  </si>
  <si>
    <t>谢小姑</t>
  </si>
  <si>
    <t>王漫女</t>
  </si>
  <si>
    <t>符志航</t>
  </si>
  <si>
    <t>刘万芳</t>
  </si>
  <si>
    <t>许立倩</t>
  </si>
  <si>
    <t>符才妮</t>
  </si>
  <si>
    <t>戴俊华</t>
  </si>
  <si>
    <t>郑焕妃</t>
  </si>
  <si>
    <t>李净</t>
  </si>
  <si>
    <t>许婕</t>
  </si>
  <si>
    <t>苏姜茹</t>
  </si>
  <si>
    <t>何琼尾</t>
  </si>
  <si>
    <t>郭孟娟</t>
  </si>
  <si>
    <t>钟慧</t>
  </si>
  <si>
    <t>孙娴</t>
  </si>
  <si>
    <t>陆广超</t>
  </si>
  <si>
    <t>杜金凤</t>
  </si>
  <si>
    <t>王君蓉</t>
  </si>
  <si>
    <t>陈元芳</t>
  </si>
  <si>
    <t>符晓燕</t>
  </si>
  <si>
    <t xml:space="preserve">李连珍 </t>
  </si>
  <si>
    <t>庞敏</t>
  </si>
  <si>
    <t>云艳苗</t>
  </si>
  <si>
    <t>邢少语</t>
  </si>
  <si>
    <t>吴贻娇</t>
  </si>
  <si>
    <t>徐晴晴</t>
  </si>
  <si>
    <t>石晶</t>
  </si>
  <si>
    <t>罗欣</t>
  </si>
  <si>
    <t>丁忱欣</t>
  </si>
  <si>
    <t>周林朱</t>
  </si>
  <si>
    <t>方玉</t>
  </si>
  <si>
    <t>冯闽琴</t>
  </si>
  <si>
    <t>冯晓丽</t>
  </si>
  <si>
    <t>张亚琳</t>
  </si>
  <si>
    <t>林荣丽</t>
  </si>
  <si>
    <t>王春琴</t>
  </si>
  <si>
    <t>胡迎</t>
  </si>
  <si>
    <t>吴玉婷</t>
  </si>
  <si>
    <t>李定爱</t>
  </si>
  <si>
    <t>单婉茹</t>
  </si>
  <si>
    <t>韩金邑</t>
  </si>
  <si>
    <t>任碧琴</t>
  </si>
  <si>
    <t>徐雅雯</t>
  </si>
  <si>
    <t>杨圆缘</t>
  </si>
  <si>
    <t>曾霞</t>
  </si>
  <si>
    <t>黄琼哗</t>
  </si>
  <si>
    <t>卢钰婷</t>
  </si>
  <si>
    <t>陈苗</t>
  </si>
  <si>
    <t>吴帆</t>
  </si>
  <si>
    <t>冯颖</t>
  </si>
  <si>
    <t>唐善鹏</t>
  </si>
  <si>
    <t>马梦洁</t>
  </si>
  <si>
    <t>王晶</t>
  </si>
  <si>
    <t>黄娴雅</t>
  </si>
  <si>
    <t>林椿丽</t>
  </si>
  <si>
    <t>蔡诗琪</t>
  </si>
  <si>
    <t>陈慧萍</t>
  </si>
  <si>
    <t>林声妃</t>
  </si>
  <si>
    <t>黄平玲</t>
  </si>
  <si>
    <t>陈昱瑾</t>
  </si>
  <si>
    <t>文一娇</t>
  </si>
  <si>
    <t>杨梅恩</t>
  </si>
  <si>
    <t>林菲</t>
  </si>
  <si>
    <t>杜珅源</t>
  </si>
  <si>
    <t>陈紫靖</t>
  </si>
  <si>
    <t>梁晓霞</t>
  </si>
  <si>
    <t>段爽爽</t>
  </si>
  <si>
    <t>杨卓婷</t>
  </si>
  <si>
    <t>陈承玲</t>
  </si>
  <si>
    <t>韩红妃</t>
  </si>
  <si>
    <t>云丹</t>
  </si>
  <si>
    <t>符爱玲</t>
  </si>
  <si>
    <t>吴春燕</t>
  </si>
  <si>
    <t>符伟珍</t>
  </si>
  <si>
    <t>黄加妹</t>
  </si>
  <si>
    <t>陈妹玲</t>
  </si>
  <si>
    <t>黄向</t>
  </si>
  <si>
    <t>欧兰凤</t>
  </si>
  <si>
    <t>韩怡</t>
  </si>
  <si>
    <t>符洁颖</t>
  </si>
  <si>
    <t>张敢嫦</t>
  </si>
  <si>
    <t>杨小菲</t>
  </si>
  <si>
    <t>黄雲博</t>
  </si>
  <si>
    <t>何晓蝶</t>
  </si>
  <si>
    <t>洪海花</t>
  </si>
  <si>
    <t>周姗姗</t>
  </si>
  <si>
    <t>曾招雷</t>
  </si>
  <si>
    <t>王丽婷</t>
  </si>
  <si>
    <t>吕璐璐</t>
  </si>
  <si>
    <t>周淑乾</t>
  </si>
  <si>
    <t>黄美莹</t>
  </si>
  <si>
    <t>刘晶</t>
  </si>
  <si>
    <t>戴依慧</t>
  </si>
  <si>
    <t>张艺</t>
  </si>
  <si>
    <t>杜和明</t>
  </si>
  <si>
    <t>郭海婷</t>
  </si>
  <si>
    <t>刘思梦</t>
  </si>
  <si>
    <t>郑荣英</t>
  </si>
  <si>
    <t>梁诗怡</t>
  </si>
  <si>
    <t>文颖洁</t>
  </si>
  <si>
    <t>谢莹莹</t>
  </si>
  <si>
    <t>符云雨</t>
  </si>
  <si>
    <t>邝琼容</t>
  </si>
  <si>
    <t>王莉莎</t>
  </si>
  <si>
    <t>罗靖薇</t>
  </si>
  <si>
    <t>邢增丽</t>
  </si>
  <si>
    <t>李格</t>
  </si>
  <si>
    <t>吴坤鹏</t>
  </si>
  <si>
    <t>李桂萍</t>
  </si>
  <si>
    <t>陈夏惠</t>
  </si>
  <si>
    <t>孙雯</t>
  </si>
  <si>
    <t>陈金雪</t>
  </si>
  <si>
    <t>黄辅委</t>
  </si>
  <si>
    <t>王雅</t>
  </si>
  <si>
    <t>杨树辉</t>
  </si>
  <si>
    <t>苻海俊</t>
  </si>
  <si>
    <t>羊明珠</t>
  </si>
  <si>
    <t>王如雨</t>
  </si>
  <si>
    <t>周林邦</t>
  </si>
  <si>
    <t>魏楠楠</t>
  </si>
  <si>
    <t>曾钊</t>
  </si>
  <si>
    <t>柏馨</t>
  </si>
  <si>
    <t>刘雪芳</t>
  </si>
  <si>
    <t>符蓓苗</t>
  </si>
  <si>
    <t>林晓慧</t>
  </si>
  <si>
    <t>岑秋萍</t>
  </si>
  <si>
    <t>陈小冬</t>
  </si>
  <si>
    <t>卢海能</t>
  </si>
  <si>
    <t>叶焕君</t>
  </si>
  <si>
    <t>吴依倩</t>
  </si>
  <si>
    <t>于琼杰</t>
  </si>
  <si>
    <t>王巧幸</t>
  </si>
  <si>
    <t>黄依依</t>
  </si>
  <si>
    <t>唐容</t>
  </si>
  <si>
    <t>郑斌云</t>
  </si>
  <si>
    <t>翁小青</t>
  </si>
  <si>
    <t>李慧</t>
  </si>
  <si>
    <t>康珂</t>
  </si>
  <si>
    <t>许琼娜</t>
  </si>
  <si>
    <t>吉倩倩</t>
  </si>
  <si>
    <t>王晓菲</t>
  </si>
  <si>
    <t>刘诗雅</t>
  </si>
  <si>
    <t>李海霞</t>
  </si>
  <si>
    <t>吴素梅</t>
  </si>
  <si>
    <t>王琦</t>
  </si>
  <si>
    <t>李晨龄</t>
  </si>
  <si>
    <t>白蓝冰</t>
  </si>
  <si>
    <t>陈足莲</t>
  </si>
  <si>
    <t>周玉笙</t>
  </si>
  <si>
    <t>曹双丽</t>
  </si>
  <si>
    <t>王昕桐</t>
  </si>
  <si>
    <t>邢惠媚</t>
  </si>
  <si>
    <t>陈小曼</t>
  </si>
  <si>
    <t>朱影</t>
  </si>
  <si>
    <t>陈霖</t>
  </si>
  <si>
    <t>吉天生</t>
  </si>
  <si>
    <t>孙宇</t>
  </si>
  <si>
    <t>许露好</t>
  </si>
  <si>
    <t>陈顺芬</t>
  </si>
  <si>
    <t>陈秀萍</t>
  </si>
  <si>
    <t>陈金敏</t>
  </si>
  <si>
    <t>蔡翠柳</t>
  </si>
  <si>
    <t>孙嘉阳</t>
  </si>
  <si>
    <t>曾海华</t>
  </si>
  <si>
    <t>李苗</t>
  </si>
  <si>
    <t>周婷婷</t>
  </si>
  <si>
    <t>符丹凤</t>
  </si>
  <si>
    <t>周小兰</t>
  </si>
  <si>
    <t>董佳琦</t>
  </si>
  <si>
    <t>韩雯</t>
  </si>
  <si>
    <t>林园园</t>
  </si>
  <si>
    <t>汤磊</t>
  </si>
  <si>
    <t>王陈慧</t>
  </si>
  <si>
    <t>苏虹</t>
  </si>
  <si>
    <t>蒙志成</t>
  </si>
  <si>
    <t>王兰英</t>
  </si>
  <si>
    <t>柯令权</t>
  </si>
  <si>
    <t>蔡天妃</t>
  </si>
  <si>
    <t>李秀妹</t>
  </si>
  <si>
    <t>吴泽敏</t>
  </si>
  <si>
    <t>黎日花</t>
  </si>
  <si>
    <t>韩欣霖</t>
  </si>
  <si>
    <t>王辉丽</t>
  </si>
  <si>
    <t>李家钰</t>
  </si>
  <si>
    <t>陈浩</t>
  </si>
  <si>
    <t>吴淑呈</t>
  </si>
  <si>
    <t>鲁思源</t>
  </si>
  <si>
    <t>张名娟</t>
  </si>
  <si>
    <t>王斯</t>
  </si>
  <si>
    <t>杨文博</t>
  </si>
  <si>
    <t>严琳</t>
  </si>
  <si>
    <t>邢棠棠</t>
  </si>
  <si>
    <t>王青甲</t>
  </si>
  <si>
    <t>陈丽晶</t>
  </si>
  <si>
    <t>陈翠柳</t>
  </si>
  <si>
    <t>郑宏</t>
  </si>
  <si>
    <t>罗晓玥</t>
  </si>
  <si>
    <t>郑秋云</t>
  </si>
  <si>
    <t>符艳</t>
  </si>
  <si>
    <t>文娟</t>
  </si>
  <si>
    <t>罗诗蕾</t>
  </si>
  <si>
    <t>杨清蓉</t>
  </si>
  <si>
    <t>李欣潇</t>
  </si>
  <si>
    <t>刘张忠</t>
  </si>
  <si>
    <t>肖媚</t>
  </si>
  <si>
    <t>陈亚嫡</t>
  </si>
  <si>
    <t>黎基敏</t>
  </si>
  <si>
    <t>李香妮</t>
  </si>
  <si>
    <t>赵星美</t>
  </si>
  <si>
    <t>温秀娜</t>
  </si>
  <si>
    <t>吴广英</t>
  </si>
  <si>
    <t>许俊凯</t>
  </si>
  <si>
    <t>卓小妹</t>
  </si>
  <si>
    <t>唐振宇</t>
  </si>
  <si>
    <t>秦莉君</t>
  </si>
  <si>
    <t>符丁文</t>
  </si>
  <si>
    <t>王慧茹</t>
  </si>
  <si>
    <t>羊代菊</t>
  </si>
  <si>
    <t>石泽楠</t>
  </si>
  <si>
    <t>饶方娜</t>
  </si>
  <si>
    <t>刘子叶</t>
  </si>
  <si>
    <t>肖保转</t>
  </si>
  <si>
    <t>何姝娴</t>
  </si>
  <si>
    <t>聂靖霓</t>
  </si>
  <si>
    <t>裴润楹</t>
  </si>
  <si>
    <t>卢裕帅</t>
  </si>
  <si>
    <t>李伊滢</t>
  </si>
  <si>
    <t>孟淑锐</t>
  </si>
  <si>
    <t>陈雪绒</t>
  </si>
  <si>
    <t>马素妹</t>
  </si>
  <si>
    <t>黄欣欣</t>
  </si>
  <si>
    <t>冯玉妹</t>
  </si>
  <si>
    <t>王肖肖</t>
  </si>
  <si>
    <t>王兰荣</t>
  </si>
  <si>
    <t>李玉弘</t>
  </si>
  <si>
    <t>王丹女</t>
  </si>
  <si>
    <t>周经雄</t>
  </si>
  <si>
    <t>周莹莹</t>
  </si>
  <si>
    <t>蔡飘飘</t>
  </si>
  <si>
    <t>符学昌</t>
  </si>
  <si>
    <t>刘盛发</t>
  </si>
  <si>
    <t>曾德敏</t>
  </si>
  <si>
    <t>符丽菲</t>
  </si>
  <si>
    <t>王和陆</t>
  </si>
  <si>
    <t>赖群珺</t>
  </si>
  <si>
    <t>陈俊蓓</t>
  </si>
  <si>
    <t>吕希</t>
  </si>
  <si>
    <t>张小晶</t>
  </si>
  <si>
    <t>王紫叶</t>
  </si>
  <si>
    <t>胡小纱</t>
  </si>
  <si>
    <t>吴钟莹</t>
  </si>
  <si>
    <t>郑少玲</t>
  </si>
  <si>
    <t>张戎景</t>
  </si>
  <si>
    <t>王誉蓉</t>
  </si>
  <si>
    <t>李金师</t>
  </si>
  <si>
    <t>关海萍</t>
  </si>
  <si>
    <t>王超</t>
  </si>
  <si>
    <t>吴漫洪</t>
  </si>
  <si>
    <t>杨钰琦</t>
  </si>
  <si>
    <t>吴亚娟</t>
  </si>
  <si>
    <t>林兴梅</t>
  </si>
  <si>
    <t>冯宝宇</t>
  </si>
  <si>
    <t>张朝萱</t>
  </si>
  <si>
    <t>符秀梅</t>
  </si>
  <si>
    <t>刘荣荣</t>
  </si>
  <si>
    <t>陈炫臻</t>
  </si>
  <si>
    <t>韦彬华</t>
  </si>
  <si>
    <t>吴小英</t>
  </si>
  <si>
    <t>李多蓉</t>
  </si>
  <si>
    <t>林述培</t>
  </si>
  <si>
    <t>王语萱</t>
  </si>
  <si>
    <t>吉丽玲</t>
  </si>
  <si>
    <t>彭周璇</t>
  </si>
  <si>
    <t>曾燕瑞</t>
  </si>
  <si>
    <t>许钰洁</t>
  </si>
  <si>
    <t>刘诗媛</t>
  </si>
  <si>
    <t>何果</t>
  </si>
  <si>
    <t>符佳馨</t>
  </si>
  <si>
    <t>徐雪秀</t>
  </si>
  <si>
    <t>庞小慧</t>
  </si>
  <si>
    <t>王良姐</t>
  </si>
  <si>
    <t>周水源</t>
  </si>
  <si>
    <t>邱俊霖</t>
  </si>
  <si>
    <t>邢维滢</t>
  </si>
  <si>
    <t>罗童心</t>
  </si>
  <si>
    <t>林云</t>
  </si>
  <si>
    <t>冯琳</t>
  </si>
  <si>
    <t>李颜</t>
  </si>
  <si>
    <t>周岁</t>
  </si>
  <si>
    <t>王献娇</t>
  </si>
  <si>
    <t>韩艳艳</t>
  </si>
  <si>
    <t>毛阳芊</t>
  </si>
  <si>
    <t>冷晴</t>
  </si>
  <si>
    <t>贾园园</t>
  </si>
  <si>
    <t>符念欣</t>
  </si>
  <si>
    <t>陈丽虹</t>
  </si>
  <si>
    <t>陈瑜</t>
  </si>
  <si>
    <t>苏先敏</t>
  </si>
  <si>
    <t>王修明</t>
  </si>
  <si>
    <t>赵永欣</t>
  </si>
  <si>
    <t>王首铭</t>
  </si>
  <si>
    <t>蔡丽君</t>
  </si>
  <si>
    <t>徐虹雨</t>
  </si>
  <si>
    <t>蔡津津</t>
  </si>
  <si>
    <t>王良锦</t>
  </si>
  <si>
    <t>石庆坤</t>
  </si>
  <si>
    <t>林星利</t>
  </si>
  <si>
    <t>黄雨霞</t>
  </si>
  <si>
    <t>李佳佳</t>
  </si>
  <si>
    <t>陈白琳</t>
  </si>
  <si>
    <t>周志霞</t>
  </si>
  <si>
    <t>吴凤扬</t>
  </si>
  <si>
    <t>李晓芬</t>
  </si>
  <si>
    <t>昝涛</t>
  </si>
  <si>
    <t>唐娥飞</t>
  </si>
  <si>
    <t>李雪皓</t>
  </si>
  <si>
    <t>林小娇</t>
  </si>
  <si>
    <t>李秋慧</t>
  </si>
  <si>
    <t>张娜</t>
  </si>
  <si>
    <t>吴思宏</t>
  </si>
  <si>
    <t>李敏</t>
  </si>
  <si>
    <t>张英杏</t>
  </si>
  <si>
    <t>符式莹</t>
  </si>
  <si>
    <t>傅力娟</t>
  </si>
  <si>
    <t>李羿成</t>
  </si>
  <si>
    <t>谢春燕</t>
  </si>
  <si>
    <t>罗聪聪</t>
  </si>
  <si>
    <t>陈竹珍</t>
  </si>
  <si>
    <t>王秋银</t>
  </si>
  <si>
    <t>郑华卿</t>
  </si>
  <si>
    <t>符寿宦</t>
  </si>
  <si>
    <t>蔡开止</t>
  </si>
  <si>
    <t>陈龙燕</t>
  </si>
  <si>
    <t>钱玉婷</t>
  </si>
  <si>
    <t>朱鸣</t>
  </si>
  <si>
    <t>方园园</t>
  </si>
  <si>
    <t>廖昕祺</t>
  </si>
  <si>
    <t>刘丽剑</t>
  </si>
  <si>
    <t>韦如军</t>
  </si>
  <si>
    <t>李莹莹</t>
  </si>
  <si>
    <t>梁泓颖</t>
  </si>
  <si>
    <t>唐爱芳</t>
  </si>
  <si>
    <t>刘微</t>
  </si>
  <si>
    <t>李思雨</t>
  </si>
  <si>
    <t>童菲</t>
  </si>
  <si>
    <t>孙小惠</t>
  </si>
  <si>
    <t>唐孟诗</t>
  </si>
  <si>
    <t>陈燕飞</t>
  </si>
  <si>
    <t>羊永芳</t>
  </si>
  <si>
    <t>丁梦珍</t>
  </si>
  <si>
    <t>郑明珠</t>
  </si>
  <si>
    <t>朱佳</t>
  </si>
  <si>
    <t>符裕诚</t>
  </si>
  <si>
    <t>刘应彩</t>
  </si>
  <si>
    <t>王琳雅</t>
  </si>
  <si>
    <t>吴娱</t>
  </si>
  <si>
    <t>倪德斌</t>
  </si>
  <si>
    <t>王海兰</t>
  </si>
  <si>
    <t>冯贝贝</t>
  </si>
  <si>
    <t>周丹萍</t>
  </si>
  <si>
    <t>关海山</t>
  </si>
  <si>
    <t>叶美玉</t>
  </si>
  <si>
    <t>林日实</t>
  </si>
  <si>
    <t>谢丽萍</t>
  </si>
  <si>
    <t>万卓秀</t>
  </si>
  <si>
    <t>庞露露</t>
  </si>
  <si>
    <t>林永楠</t>
  </si>
  <si>
    <t>孙鸿婉</t>
  </si>
  <si>
    <t>黄绿绿</t>
  </si>
  <si>
    <t>陈如</t>
  </si>
  <si>
    <t>颜泽丽</t>
  </si>
  <si>
    <t>王雪婷</t>
  </si>
  <si>
    <t>蒋文杰</t>
  </si>
  <si>
    <t>黄茹</t>
  </si>
  <si>
    <t>钟同玉</t>
  </si>
  <si>
    <t>周明瑶</t>
  </si>
  <si>
    <t>邝晔</t>
  </si>
  <si>
    <t>陈晓敏</t>
  </si>
  <si>
    <t>韩腾</t>
  </si>
  <si>
    <t>詹玉川</t>
  </si>
  <si>
    <t>刘芬琳</t>
  </si>
  <si>
    <t>黄赞贻</t>
  </si>
  <si>
    <t>吴丽雯</t>
  </si>
  <si>
    <t>李兰英</t>
  </si>
  <si>
    <t>张珍紫</t>
  </si>
  <si>
    <t>陈竹兰</t>
  </si>
  <si>
    <t>陈鸿妹</t>
  </si>
  <si>
    <t>黎石翠</t>
  </si>
  <si>
    <t>廖业婷</t>
  </si>
  <si>
    <t>吉金茹</t>
  </si>
  <si>
    <t>高雅蕾</t>
  </si>
  <si>
    <t>吴淑晴</t>
  </si>
  <si>
    <t>陈钟怡</t>
  </si>
  <si>
    <t>王君子</t>
  </si>
  <si>
    <t>郝博希</t>
  </si>
  <si>
    <t>罗千玲</t>
  </si>
  <si>
    <t>田梦涵</t>
  </si>
  <si>
    <t>庞基言</t>
  </si>
  <si>
    <t>符欣</t>
  </si>
  <si>
    <t>薛月柳</t>
  </si>
  <si>
    <t>谭梦佳</t>
  </si>
  <si>
    <t>吴多林</t>
  </si>
  <si>
    <t>唐诗雨</t>
  </si>
  <si>
    <t>李明源</t>
  </si>
  <si>
    <t>冯希</t>
  </si>
  <si>
    <t>陈亚志</t>
  </si>
  <si>
    <t>谢安娜</t>
  </si>
  <si>
    <t>邓德壮</t>
  </si>
  <si>
    <t>尤泽弘</t>
  </si>
  <si>
    <t>陈滢萍</t>
  </si>
  <si>
    <t>吴春晓</t>
  </si>
  <si>
    <t>莫云丽</t>
  </si>
  <si>
    <t>沈仪</t>
  </si>
  <si>
    <t>吴怡蕊</t>
  </si>
  <si>
    <t>方琴岚</t>
  </si>
  <si>
    <t>黄楚茵</t>
  </si>
  <si>
    <t>李雅洁</t>
  </si>
  <si>
    <t>邱雅惠</t>
  </si>
  <si>
    <t>龙彩霞</t>
  </si>
  <si>
    <t>柏继舜</t>
  </si>
  <si>
    <t>苏嘉慧</t>
  </si>
  <si>
    <t>陈尾教</t>
  </si>
  <si>
    <t>杨静</t>
  </si>
  <si>
    <t>曾佳欣</t>
  </si>
  <si>
    <t>邓亮妹</t>
  </si>
  <si>
    <t>杨冶萍</t>
  </si>
  <si>
    <t>李达文</t>
  </si>
  <si>
    <t>荀宝茹</t>
  </si>
  <si>
    <t>陈俊怡</t>
  </si>
  <si>
    <t>杨定琨</t>
  </si>
  <si>
    <t>霍雅楠</t>
  </si>
  <si>
    <t>李涓</t>
  </si>
  <si>
    <t>郭美含</t>
  </si>
  <si>
    <t>杨媛媛</t>
  </si>
  <si>
    <t>舒欢欢</t>
  </si>
  <si>
    <t>黄实帅</t>
  </si>
  <si>
    <t>杨怀</t>
  </si>
  <si>
    <t>符媚</t>
  </si>
  <si>
    <t>刘可欣</t>
  </si>
  <si>
    <t>黄丽婷</t>
  </si>
  <si>
    <t>文法权</t>
  </si>
  <si>
    <t>李小蔚</t>
  </si>
  <si>
    <t>陈安祺</t>
  </si>
  <si>
    <t>符鸿泽</t>
  </si>
  <si>
    <t>欧琼迪</t>
  </si>
  <si>
    <t>周小度</t>
  </si>
  <si>
    <t>符人丽</t>
  </si>
  <si>
    <t>吕洋</t>
  </si>
  <si>
    <t>洪水兰</t>
  </si>
  <si>
    <t>洪雅</t>
  </si>
  <si>
    <t>朱媛</t>
  </si>
  <si>
    <t>刘晓东</t>
  </si>
  <si>
    <t>陈冠忠</t>
  </si>
  <si>
    <t>张仕金</t>
  </si>
  <si>
    <t>陈怀超</t>
  </si>
  <si>
    <t>张凯</t>
  </si>
  <si>
    <t>郝擎宇</t>
  </si>
  <si>
    <t>符谷丹</t>
  </si>
  <si>
    <t>郑文丽</t>
  </si>
  <si>
    <t>张靖涵</t>
  </si>
  <si>
    <t>云晓蕾</t>
  </si>
  <si>
    <t>叶秀如</t>
  </si>
  <si>
    <t>李秀英</t>
  </si>
  <si>
    <t>陈召</t>
  </si>
  <si>
    <t>林巧艳</t>
  </si>
  <si>
    <t>陈惠</t>
  </si>
  <si>
    <t>林欣</t>
  </si>
  <si>
    <t>陈锦琦</t>
  </si>
  <si>
    <t>李秀云</t>
  </si>
  <si>
    <t>符旭</t>
  </si>
  <si>
    <t>李秋月</t>
  </si>
  <si>
    <t>梁倩倩</t>
  </si>
  <si>
    <t>吴钟玉</t>
  </si>
  <si>
    <t>陈皓云</t>
  </si>
  <si>
    <t>林小贤</t>
  </si>
  <si>
    <t>杨碧新</t>
  </si>
  <si>
    <t>苏萌</t>
  </si>
  <si>
    <t>洪小敏</t>
  </si>
  <si>
    <t>陈小正</t>
  </si>
  <si>
    <t>吴雯晶</t>
  </si>
  <si>
    <t>高小芬</t>
  </si>
  <si>
    <t>符丽香</t>
  </si>
  <si>
    <t>李惠</t>
  </si>
  <si>
    <t>梁乙苗</t>
  </si>
  <si>
    <t>陆国欣</t>
  </si>
  <si>
    <t>陈晞月</t>
  </si>
  <si>
    <t>蔡於颖</t>
  </si>
  <si>
    <t>邱春汝</t>
  </si>
  <si>
    <t>孙铖</t>
  </si>
  <si>
    <t>陈杰世</t>
  </si>
  <si>
    <t>陈圆圆</t>
  </si>
  <si>
    <t>韦爱民</t>
  </si>
  <si>
    <t>韩骏定</t>
  </si>
  <si>
    <t>林仕泉</t>
  </si>
  <si>
    <t>符莞莹</t>
  </si>
  <si>
    <t>覃业兰</t>
  </si>
  <si>
    <t>陈日映</t>
  </si>
  <si>
    <t>廖容容</t>
  </si>
  <si>
    <t>容才飞</t>
  </si>
  <si>
    <t>洪祥琪</t>
  </si>
  <si>
    <t>符明夏</t>
  </si>
  <si>
    <t>方莉</t>
  </si>
  <si>
    <t>王光庆</t>
  </si>
  <si>
    <t>韩紫欣</t>
  </si>
  <si>
    <t>陈影</t>
  </si>
  <si>
    <t>祁嫚腊</t>
  </si>
  <si>
    <t>冯月芳</t>
  </si>
  <si>
    <t>秦佳琪</t>
  </si>
  <si>
    <t>吴安妮</t>
  </si>
  <si>
    <t>李玉皎</t>
  </si>
  <si>
    <t>马宏国</t>
  </si>
  <si>
    <t>吴孟珊</t>
  </si>
  <si>
    <t>张子珍</t>
  </si>
  <si>
    <t>吴钟恒</t>
  </si>
  <si>
    <t>黄英</t>
  </si>
  <si>
    <t>肖博</t>
  </si>
  <si>
    <t>唐艺</t>
  </si>
  <si>
    <t>房玉欢</t>
  </si>
  <si>
    <t>王奇敏</t>
  </si>
  <si>
    <t>何柳女</t>
  </si>
  <si>
    <t>陈晓婷</t>
  </si>
  <si>
    <t>陈焕丽</t>
  </si>
  <si>
    <t>张茜</t>
  </si>
  <si>
    <t>邓万鸿</t>
  </si>
  <si>
    <t>羊秋芬</t>
  </si>
  <si>
    <t>邬锦春</t>
  </si>
  <si>
    <t>江颖</t>
  </si>
  <si>
    <t>刘钰琦</t>
  </si>
  <si>
    <t>符梅霞</t>
  </si>
  <si>
    <t>杨顺</t>
  </si>
  <si>
    <t>张燕燕</t>
  </si>
  <si>
    <t>龚雅</t>
  </si>
  <si>
    <t>吴学玲</t>
  </si>
  <si>
    <t>林静仪</t>
  </si>
  <si>
    <t>冯祥娜</t>
  </si>
  <si>
    <t>胡井龙</t>
  </si>
  <si>
    <t>徐小颜</t>
  </si>
  <si>
    <t>郑庭学</t>
  </si>
  <si>
    <t>云惟伦</t>
  </si>
  <si>
    <t>羊丽英</t>
  </si>
  <si>
    <t>吴琦珠</t>
  </si>
  <si>
    <t>赵金玲</t>
  </si>
  <si>
    <t>李怡飞</t>
  </si>
  <si>
    <t>王雨欣</t>
  </si>
  <si>
    <t>王堂银</t>
  </si>
  <si>
    <t>曾镇深</t>
  </si>
  <si>
    <t>陈珺娴</t>
  </si>
  <si>
    <t>王雯萱</t>
  </si>
  <si>
    <t>陈曦</t>
  </si>
  <si>
    <t>林芳权</t>
  </si>
  <si>
    <t>文洁</t>
  </si>
  <si>
    <t>陈朝龙</t>
  </si>
  <si>
    <t>冯小蔓</t>
  </si>
  <si>
    <t>蔡佳秀</t>
  </si>
  <si>
    <t>赵姜虹</t>
  </si>
  <si>
    <t>陈盼盼</t>
  </si>
  <si>
    <t>张强</t>
  </si>
  <si>
    <t>韩斌光</t>
  </si>
  <si>
    <t>郑知</t>
  </si>
  <si>
    <t>李紫微</t>
  </si>
  <si>
    <t>李亚佳</t>
  </si>
  <si>
    <t>黄妙媛</t>
  </si>
  <si>
    <t>吕子书</t>
  </si>
  <si>
    <t>肖德建</t>
  </si>
  <si>
    <t>林潞馨</t>
  </si>
  <si>
    <t>何仁辉</t>
  </si>
  <si>
    <t>陈秋伊</t>
  </si>
  <si>
    <t>符香花</t>
  </si>
  <si>
    <t>林乐乐</t>
  </si>
  <si>
    <t>符方梅</t>
  </si>
  <si>
    <t>丰华欣</t>
  </si>
  <si>
    <t>赵壮珠</t>
  </si>
  <si>
    <t>钟国霞</t>
  </si>
  <si>
    <t>简丽</t>
  </si>
  <si>
    <t>纪培娜</t>
  </si>
  <si>
    <t>张夺</t>
  </si>
  <si>
    <t>邢雯婷</t>
  </si>
  <si>
    <t>刘菲</t>
  </si>
  <si>
    <t>王冰雪</t>
  </si>
  <si>
    <t>易昆</t>
  </si>
  <si>
    <t>颜森莹</t>
  </si>
  <si>
    <t>王莉贞</t>
  </si>
  <si>
    <t>李钧容</t>
  </si>
  <si>
    <t>张阳柳</t>
  </si>
  <si>
    <t>林子芯</t>
  </si>
  <si>
    <t>王安悄</t>
  </si>
  <si>
    <t>王若虹</t>
  </si>
  <si>
    <t>罗丁珲</t>
  </si>
  <si>
    <t>王小映</t>
  </si>
  <si>
    <t>邓翀</t>
  </si>
  <si>
    <t>蔡佼佼</t>
  </si>
  <si>
    <t>蔡瑶池</t>
  </si>
  <si>
    <t>郑儒全</t>
  </si>
  <si>
    <t>何丽</t>
  </si>
  <si>
    <t>曾慧</t>
  </si>
  <si>
    <t>廖晓寒</t>
  </si>
  <si>
    <t>文俏</t>
  </si>
  <si>
    <t>蔡金怡</t>
  </si>
  <si>
    <t>白明吉</t>
  </si>
  <si>
    <t>周韩羽</t>
  </si>
  <si>
    <t>李文浩</t>
  </si>
  <si>
    <t>潘子晨</t>
  </si>
  <si>
    <t>陈华佳</t>
  </si>
  <si>
    <t>王紫珊</t>
  </si>
  <si>
    <t>吴淑玲</t>
  </si>
  <si>
    <t>卢雪玉</t>
  </si>
  <si>
    <t>吴育云</t>
  </si>
  <si>
    <t>何雯雯</t>
  </si>
  <si>
    <t>潘春洁</t>
  </si>
  <si>
    <t>吴清美</t>
  </si>
  <si>
    <t>王会会</t>
  </si>
  <si>
    <t xml:space="preserve">洪欣欣 </t>
  </si>
  <si>
    <t>关荣翠</t>
  </si>
  <si>
    <t>张昀霞</t>
  </si>
  <si>
    <t>林婉妃</t>
  </si>
  <si>
    <t>李应珠</t>
  </si>
  <si>
    <t>陈玉菁</t>
  </si>
  <si>
    <t>杜雲烟</t>
  </si>
  <si>
    <t>尹柏霆</t>
  </si>
  <si>
    <t>王彩旺</t>
  </si>
  <si>
    <t>胡静超</t>
  </si>
  <si>
    <t>陈华怡</t>
  </si>
  <si>
    <t>陈政毅</t>
  </si>
  <si>
    <t>苏智超</t>
  </si>
  <si>
    <t>梁少玲</t>
  </si>
  <si>
    <t>伍少嘉</t>
  </si>
  <si>
    <t>王云艳</t>
  </si>
  <si>
    <t>陈凝</t>
  </si>
  <si>
    <t>莫伟善</t>
  </si>
  <si>
    <t>冼燕敏</t>
  </si>
  <si>
    <t>陈泽康</t>
  </si>
  <si>
    <t>杨甜甜</t>
  </si>
  <si>
    <t>柳美玉</t>
  </si>
  <si>
    <t>冯琼叶</t>
  </si>
  <si>
    <t>吴秋盈</t>
  </si>
  <si>
    <t>陈玉珠</t>
  </si>
  <si>
    <t>董婕</t>
  </si>
  <si>
    <t>徐昊</t>
  </si>
  <si>
    <t>王庆磊</t>
  </si>
  <si>
    <t>杨小静</t>
  </si>
  <si>
    <t>陈婉青</t>
  </si>
  <si>
    <t>王小转</t>
  </si>
  <si>
    <t>黄莉钧</t>
  </si>
  <si>
    <t>张帆</t>
  </si>
  <si>
    <t>叶学雪</t>
  </si>
  <si>
    <t>林芳慧</t>
  </si>
  <si>
    <t>郑瑞怡</t>
  </si>
  <si>
    <t>刘春旭</t>
  </si>
  <si>
    <t>郭润榕</t>
  </si>
  <si>
    <t>莫青云</t>
  </si>
  <si>
    <t>罗妹双</t>
  </si>
  <si>
    <t>王洁兴</t>
  </si>
  <si>
    <t>陈校</t>
  </si>
  <si>
    <t>梁莉</t>
  </si>
  <si>
    <t>邢壹婷</t>
  </si>
  <si>
    <t>吴巧鑫</t>
  </si>
  <si>
    <t>金爱新</t>
  </si>
  <si>
    <t>王晓田</t>
  </si>
  <si>
    <t>李鑫欣</t>
  </si>
  <si>
    <t>羊义豪</t>
  </si>
  <si>
    <t>刘婉欣</t>
  </si>
  <si>
    <t>蔡汝松</t>
  </si>
  <si>
    <t>周灵灵</t>
  </si>
  <si>
    <t>李道衡</t>
  </si>
  <si>
    <t>邓超</t>
  </si>
  <si>
    <t>张文亚</t>
  </si>
  <si>
    <t>符露萍</t>
  </si>
  <si>
    <t>张秋雨</t>
  </si>
  <si>
    <t>周艳颜</t>
  </si>
  <si>
    <t>姜兰</t>
  </si>
  <si>
    <t>陈杨丽</t>
  </si>
  <si>
    <t>文妃容</t>
  </si>
  <si>
    <t>张鹏鹏</t>
  </si>
  <si>
    <t>彭晓婷</t>
  </si>
  <si>
    <t>张达娟</t>
  </si>
  <si>
    <t>白玉容</t>
  </si>
  <si>
    <t>卢春芳</t>
  </si>
  <si>
    <t>张丽河</t>
  </si>
  <si>
    <t>邹春妮</t>
  </si>
  <si>
    <t>赵津源</t>
  </si>
  <si>
    <t>李文玲</t>
  </si>
  <si>
    <t>陆菁菁</t>
  </si>
  <si>
    <t>侯金言</t>
  </si>
  <si>
    <t>刘雅芹</t>
  </si>
  <si>
    <t>陈明娟</t>
  </si>
  <si>
    <t>黄赞彬</t>
  </si>
  <si>
    <t>林佳佳</t>
  </si>
  <si>
    <t>吴冬仪</t>
  </si>
  <si>
    <t>谢菲</t>
  </si>
  <si>
    <t>陈爱女</t>
  </si>
  <si>
    <t>林彦敏</t>
  </si>
  <si>
    <t>张昌彦</t>
  </si>
  <si>
    <t>张龙坪</t>
  </si>
  <si>
    <t>吕真言</t>
  </si>
  <si>
    <t>卢蝴燕</t>
  </si>
  <si>
    <t>明玉玲</t>
  </si>
  <si>
    <t>许榕峨</t>
  </si>
  <si>
    <t>符丽莉</t>
  </si>
  <si>
    <t>刘美</t>
  </si>
  <si>
    <t>王少华</t>
  </si>
  <si>
    <t>周炳丹</t>
  </si>
  <si>
    <t>黄善善</t>
  </si>
  <si>
    <t>吴扬静</t>
  </si>
  <si>
    <t>陈友</t>
  </si>
  <si>
    <t>李伟玲</t>
  </si>
  <si>
    <t>张颂昕</t>
  </si>
  <si>
    <t>冯秋梅</t>
  </si>
  <si>
    <t>胡婷</t>
  </si>
  <si>
    <t>周灯知</t>
  </si>
  <si>
    <t>温馨</t>
  </si>
  <si>
    <t>张亚姑</t>
  </si>
  <si>
    <t>吴为鹏</t>
  </si>
  <si>
    <t>林芳香</t>
  </si>
  <si>
    <t>龙君</t>
  </si>
  <si>
    <t>谢永丽</t>
  </si>
  <si>
    <t>郭梁艳</t>
  </si>
  <si>
    <t>汪爱玲</t>
  </si>
  <si>
    <t>黄月丽</t>
  </si>
  <si>
    <t>曹婷婷</t>
  </si>
  <si>
    <t>陈圣佳</t>
  </si>
  <si>
    <t>符玉娘</t>
  </si>
  <si>
    <t>严小滢</t>
  </si>
  <si>
    <t>魏蕾</t>
  </si>
  <si>
    <t>陈师昌</t>
  </si>
  <si>
    <t>唐津津</t>
  </si>
  <si>
    <t>陈香菲</t>
  </si>
  <si>
    <t>赵丹</t>
  </si>
  <si>
    <t>王丽荟</t>
  </si>
  <si>
    <t>吴小琴</t>
  </si>
  <si>
    <t>万广珍</t>
  </si>
  <si>
    <t>曾凌萍</t>
  </si>
  <si>
    <t>吴蕴琦</t>
  </si>
  <si>
    <t>王虹睿</t>
  </si>
  <si>
    <t>蒋倩</t>
  </si>
  <si>
    <t>许萧萧</t>
  </si>
  <si>
    <t>王姿</t>
  </si>
  <si>
    <t>张曼芬</t>
  </si>
  <si>
    <t>董鸿川</t>
  </si>
  <si>
    <t>张继欢</t>
  </si>
  <si>
    <t>吉才燕</t>
  </si>
  <si>
    <t>洪琼珠</t>
  </si>
  <si>
    <t>吴月丽</t>
  </si>
  <si>
    <t>韩千红</t>
  </si>
  <si>
    <t>李华川</t>
  </si>
  <si>
    <t>杨素贞</t>
  </si>
  <si>
    <t>唐小骄</t>
  </si>
  <si>
    <t>王梅英</t>
  </si>
  <si>
    <t>陈肖婷</t>
  </si>
  <si>
    <t>彭宗尹</t>
  </si>
  <si>
    <t>林丽萍</t>
  </si>
  <si>
    <t>王新琦</t>
  </si>
  <si>
    <t>唐莹铮</t>
  </si>
  <si>
    <t>黄玉春</t>
  </si>
  <si>
    <t>林潼</t>
  </si>
  <si>
    <t>胡娴</t>
  </si>
  <si>
    <t>王婵</t>
  </si>
  <si>
    <t>王浩</t>
  </si>
  <si>
    <t>窦绕花</t>
  </si>
  <si>
    <t>安真慧</t>
  </si>
  <si>
    <t>刘任静</t>
  </si>
  <si>
    <t>林超</t>
  </si>
  <si>
    <t>符策坤</t>
  </si>
  <si>
    <t>张芳芳</t>
  </si>
  <si>
    <t>王婕</t>
  </si>
  <si>
    <t>黄晓欣</t>
  </si>
  <si>
    <t>甘永寿</t>
  </si>
  <si>
    <t>梁晓璐</t>
  </si>
  <si>
    <t>黎碧茵</t>
  </si>
  <si>
    <t>陈诗萍</t>
  </si>
  <si>
    <t>宋轲莉</t>
  </si>
  <si>
    <t>吴桃</t>
  </si>
  <si>
    <t>吴佳莹</t>
  </si>
  <si>
    <t>文艺洁</t>
  </si>
  <si>
    <t>李蒲</t>
  </si>
  <si>
    <t>潘倩倩</t>
  </si>
  <si>
    <t>秦莹</t>
  </si>
  <si>
    <t>徐庆云</t>
  </si>
  <si>
    <t>陈清妍</t>
  </si>
  <si>
    <t>方雅珉</t>
  </si>
  <si>
    <t>罗文君</t>
  </si>
  <si>
    <t>庄江燕</t>
  </si>
  <si>
    <t>李辉</t>
  </si>
  <si>
    <t>王雪曼</t>
  </si>
  <si>
    <t>柯蒙</t>
  </si>
  <si>
    <t>吴雪</t>
  </si>
  <si>
    <t>陈焜娜</t>
  </si>
  <si>
    <t>方静茹</t>
  </si>
  <si>
    <t>林慧琴</t>
  </si>
  <si>
    <t>鄢宇</t>
  </si>
  <si>
    <t>温秀红</t>
  </si>
  <si>
    <t>邱明东</t>
  </si>
  <si>
    <t>叶丹</t>
  </si>
  <si>
    <t>卓菁菁</t>
  </si>
  <si>
    <t>黄丹丹</t>
  </si>
  <si>
    <t>孙雪慧</t>
  </si>
  <si>
    <t>羊春源</t>
  </si>
  <si>
    <t>贾诗睿</t>
  </si>
  <si>
    <t>郑洁丽</t>
  </si>
  <si>
    <t>文巨沁</t>
  </si>
  <si>
    <t>贺洁</t>
  </si>
  <si>
    <t>贾茹</t>
  </si>
  <si>
    <t>苏真</t>
  </si>
  <si>
    <t>郭俞良</t>
  </si>
  <si>
    <t>郭玉芬</t>
  </si>
  <si>
    <t>麦桑田</t>
  </si>
  <si>
    <t>陈帆</t>
  </si>
  <si>
    <t>卓云娇</t>
  </si>
  <si>
    <t>周方圆</t>
  </si>
  <si>
    <t>周艳</t>
  </si>
  <si>
    <t>王燕丹</t>
  </si>
  <si>
    <t>林永教</t>
  </si>
  <si>
    <t>吴玉云</t>
  </si>
  <si>
    <t>曾深</t>
  </si>
  <si>
    <t>戴立茹</t>
  </si>
  <si>
    <t>陈少宛</t>
  </si>
  <si>
    <t>倪娇娇</t>
  </si>
  <si>
    <t>王淑莲</t>
  </si>
  <si>
    <t>孙鹏</t>
  </si>
  <si>
    <t>邱丽翔</t>
  </si>
  <si>
    <t>王丽梅</t>
  </si>
  <si>
    <t>杜孟南</t>
  </si>
  <si>
    <t>石欢</t>
  </si>
  <si>
    <t>文静</t>
  </si>
  <si>
    <t>赵春凤</t>
  </si>
  <si>
    <t>林英</t>
  </si>
  <si>
    <t>陈枫</t>
  </si>
  <si>
    <t>马艺萍</t>
  </si>
  <si>
    <t>秦有晶</t>
  </si>
  <si>
    <t>吴玉妹</t>
  </si>
  <si>
    <t>韩文婷</t>
  </si>
  <si>
    <t>周韬</t>
  </si>
  <si>
    <t>卢思盈</t>
  </si>
  <si>
    <t>简金桃</t>
  </si>
  <si>
    <t>王金容</t>
  </si>
  <si>
    <t>韩丹妮</t>
  </si>
  <si>
    <t>刘月强</t>
  </si>
  <si>
    <t>麦丽舒</t>
  </si>
  <si>
    <t>王小月</t>
  </si>
  <si>
    <t>王富莉</t>
  </si>
  <si>
    <t>江佩珊</t>
  </si>
  <si>
    <t>李朝臣</t>
  </si>
  <si>
    <t>王春布</t>
  </si>
  <si>
    <t>杨东雨</t>
  </si>
  <si>
    <t>高则凤</t>
  </si>
  <si>
    <t>李春霞</t>
  </si>
  <si>
    <t>柯伟平</t>
  </si>
  <si>
    <t>丁发新</t>
  </si>
  <si>
    <t>林慧</t>
  </si>
  <si>
    <t>何丽花</t>
  </si>
  <si>
    <t>郑文竹</t>
  </si>
  <si>
    <t>冯群</t>
  </si>
  <si>
    <t>吴李莲</t>
  </si>
  <si>
    <t>臧家田</t>
  </si>
  <si>
    <t>李婉彤</t>
  </si>
  <si>
    <t>王雪连</t>
  </si>
  <si>
    <t>符海媚</t>
  </si>
  <si>
    <t>詹生涛</t>
  </si>
  <si>
    <t>桂卫丽</t>
  </si>
  <si>
    <t>许婷婷</t>
  </si>
  <si>
    <t>朱少翆</t>
  </si>
  <si>
    <t>吴萍</t>
  </si>
  <si>
    <t>尤宝乐</t>
  </si>
  <si>
    <t>崔庭兰</t>
  </si>
  <si>
    <t>许乔木</t>
  </si>
  <si>
    <t>朱绵绵</t>
  </si>
  <si>
    <t>吴纾维</t>
  </si>
  <si>
    <t>王英</t>
  </si>
  <si>
    <t>黄蕾</t>
  </si>
  <si>
    <t>符怡</t>
  </si>
  <si>
    <t>扈雅宁</t>
  </si>
  <si>
    <t>林艳</t>
  </si>
  <si>
    <t>何鹭</t>
  </si>
  <si>
    <t>练佳琦</t>
  </si>
  <si>
    <t>符晓蝶</t>
  </si>
  <si>
    <t>韦福浪</t>
  </si>
  <si>
    <t>胡玉英</t>
  </si>
  <si>
    <t>文燕华</t>
  </si>
  <si>
    <t>王国英</t>
  </si>
  <si>
    <t>汤表叶</t>
  </si>
  <si>
    <t>冯琼燕</t>
  </si>
  <si>
    <t>邓雨晴</t>
  </si>
  <si>
    <t>吴丽玲</t>
  </si>
  <si>
    <t>林艳萍</t>
  </si>
  <si>
    <t>李春川</t>
  </si>
  <si>
    <t>羊学州</t>
  </si>
  <si>
    <t>符传代</t>
  </si>
  <si>
    <t>蔡桂燕</t>
  </si>
  <si>
    <t>黄家明</t>
  </si>
  <si>
    <t>黎宏厚</t>
  </si>
  <si>
    <t>芦成龙</t>
  </si>
  <si>
    <t>王菠</t>
  </si>
  <si>
    <t>黄丽娟</t>
  </si>
  <si>
    <t>李传杰</t>
  </si>
  <si>
    <t>王梦飞</t>
  </si>
  <si>
    <t>董艳</t>
  </si>
  <si>
    <t>王文伟</t>
  </si>
  <si>
    <t>曾川</t>
  </si>
  <si>
    <t>刘鹤遥</t>
  </si>
  <si>
    <t>张晨阳</t>
  </si>
  <si>
    <t>秦基伟</t>
  </si>
  <si>
    <t>林娥花</t>
  </si>
  <si>
    <t>许译文</t>
  </si>
  <si>
    <t>陈经妹</t>
  </si>
  <si>
    <t>许其旺</t>
  </si>
  <si>
    <t>刘现圆</t>
  </si>
  <si>
    <t>庄少君</t>
  </si>
  <si>
    <t>王袁丽</t>
  </si>
  <si>
    <t>陈妙茵</t>
  </si>
  <si>
    <t>郭真真</t>
  </si>
  <si>
    <t>潘小婷</t>
  </si>
  <si>
    <t>陈春蕊</t>
  </si>
  <si>
    <t>陈星星</t>
  </si>
  <si>
    <t>唐燕萍</t>
  </si>
  <si>
    <t>陈龙</t>
  </si>
  <si>
    <t>李佳韵</t>
  </si>
  <si>
    <t>伊诺</t>
  </si>
  <si>
    <t>符琬曼</t>
  </si>
  <si>
    <t>何升民</t>
  </si>
  <si>
    <t>岑彩静</t>
  </si>
  <si>
    <t>符文婷</t>
  </si>
  <si>
    <t>庞世彤</t>
  </si>
  <si>
    <t>王雪真</t>
  </si>
  <si>
    <t>吴莹莹</t>
  </si>
  <si>
    <t>文霞</t>
  </si>
  <si>
    <t>盛萌</t>
  </si>
  <si>
    <t>范炜杰</t>
  </si>
  <si>
    <t>高雨飘</t>
  </si>
  <si>
    <t>麦慧霞</t>
  </si>
  <si>
    <t>赵利秋</t>
  </si>
  <si>
    <t>李宁婷</t>
  </si>
  <si>
    <t>吴紫娴</t>
  </si>
  <si>
    <t>施婷婷</t>
  </si>
  <si>
    <t>王家麒</t>
  </si>
  <si>
    <t>詹欣</t>
  </si>
  <si>
    <t>翁振辉</t>
  </si>
  <si>
    <t>覃丽花</t>
  </si>
  <si>
    <t>尹小倩</t>
  </si>
  <si>
    <t>蒙建桦</t>
  </si>
  <si>
    <t>符心茹</t>
  </si>
  <si>
    <t>古庭玮</t>
  </si>
  <si>
    <t>麦小菲</t>
  </si>
  <si>
    <t>吴启源</t>
  </si>
  <si>
    <t>莫其霞</t>
  </si>
  <si>
    <t>邢昙坛</t>
  </si>
  <si>
    <t>潘孝岿</t>
  </si>
  <si>
    <t>吴清慧</t>
  </si>
  <si>
    <t>黄小淦</t>
  </si>
  <si>
    <t>江燕华</t>
  </si>
  <si>
    <t>李贞彤</t>
  </si>
  <si>
    <t>欧诗雯</t>
  </si>
  <si>
    <t>王海花</t>
  </si>
  <si>
    <t>张桂妹</t>
  </si>
  <si>
    <t>曹佳慧</t>
  </si>
  <si>
    <t>王秀敏</t>
  </si>
  <si>
    <t>陈柳惠</t>
  </si>
  <si>
    <t>陈伊敏</t>
  </si>
  <si>
    <t>孔凤燕</t>
  </si>
  <si>
    <t>刘小文</t>
  </si>
  <si>
    <t>张茹彬</t>
  </si>
  <si>
    <t>杨靖</t>
  </si>
  <si>
    <t>陈丹</t>
  </si>
  <si>
    <t>严慧</t>
  </si>
  <si>
    <t>韩丛璟</t>
  </si>
  <si>
    <t>梁琬婧</t>
  </si>
  <si>
    <t>文秀航</t>
  </si>
  <si>
    <t>刘南妃</t>
  </si>
  <si>
    <t>王小清</t>
  </si>
  <si>
    <t>徐婉婷</t>
  </si>
  <si>
    <t>苏丽雅</t>
  </si>
  <si>
    <t>吉茹茹</t>
  </si>
  <si>
    <t>覃春玉</t>
  </si>
  <si>
    <t>吴诗</t>
  </si>
  <si>
    <t>吴清周</t>
  </si>
  <si>
    <t>张亚娇</t>
  </si>
  <si>
    <t>万江川</t>
  </si>
  <si>
    <t>王晓娉</t>
  </si>
  <si>
    <t>冯芷菁</t>
  </si>
  <si>
    <t>王碧蕾</t>
  </si>
  <si>
    <t>叶宣彤</t>
  </si>
  <si>
    <t>林道梁</t>
  </si>
  <si>
    <t>黄雨秋</t>
  </si>
  <si>
    <t>许丽雅</t>
  </si>
  <si>
    <t>王康胜</t>
  </si>
  <si>
    <t>杨新宁</t>
  </si>
  <si>
    <t>王小娜</t>
  </si>
  <si>
    <t>蔡笃锦</t>
  </si>
  <si>
    <t>王淇</t>
  </si>
  <si>
    <t>李星星</t>
  </si>
  <si>
    <t>叶小玉</t>
  </si>
  <si>
    <t>吴柔慧</t>
  </si>
  <si>
    <t>符月琼</t>
  </si>
  <si>
    <t>莫晓芳</t>
  </si>
  <si>
    <t>刘春哓</t>
  </si>
  <si>
    <t>李春娴</t>
  </si>
  <si>
    <t>谢静敏</t>
  </si>
  <si>
    <t>韩晓珊</t>
  </si>
  <si>
    <t>谢小琴</t>
  </si>
  <si>
    <t>谢荟敏</t>
  </si>
  <si>
    <t>王明婷</t>
  </si>
  <si>
    <t>刘小亚</t>
  </si>
  <si>
    <t>陈丽花</t>
  </si>
  <si>
    <t>何文君</t>
  </si>
  <si>
    <t>王莉</t>
  </si>
  <si>
    <t>符河东</t>
  </si>
  <si>
    <t>邢蓉花</t>
  </si>
  <si>
    <t>张淑钰</t>
  </si>
  <si>
    <t>李梓源</t>
  </si>
  <si>
    <t>郭育龙</t>
  </si>
  <si>
    <t>胡贤玲</t>
  </si>
  <si>
    <t>黄柳艳</t>
  </si>
  <si>
    <t>符娟蝶</t>
  </si>
  <si>
    <t>林海英</t>
  </si>
  <si>
    <t>陈宜</t>
  </si>
  <si>
    <t>徐华承</t>
  </si>
  <si>
    <t>刘兴伟</t>
  </si>
  <si>
    <t>符雪美</t>
  </si>
  <si>
    <t>周川琪</t>
  </si>
  <si>
    <t>何雄玲</t>
  </si>
  <si>
    <t>翁玉娜</t>
  </si>
  <si>
    <t>邓惠丹</t>
  </si>
  <si>
    <t>王芬芬</t>
  </si>
  <si>
    <t>罗双锦</t>
  </si>
  <si>
    <t>罗蜜蜜</t>
  </si>
  <si>
    <t>洪小娇</t>
  </si>
  <si>
    <t>劳秀爰</t>
  </si>
  <si>
    <t>陈奕金</t>
  </si>
  <si>
    <t>龙丁广</t>
  </si>
  <si>
    <t>高善冬</t>
  </si>
  <si>
    <t>陈茜睿</t>
  </si>
  <si>
    <t>叶含胭</t>
  </si>
  <si>
    <t>李逸</t>
  </si>
  <si>
    <t>邓丹花</t>
  </si>
  <si>
    <t>郭维花</t>
  </si>
  <si>
    <t>刘玉华</t>
  </si>
  <si>
    <t>符新飞</t>
  </si>
  <si>
    <t>吴芳丞</t>
  </si>
  <si>
    <t>赵德军</t>
  </si>
  <si>
    <t>黄森</t>
  </si>
  <si>
    <t>王馥芸</t>
  </si>
  <si>
    <t>黄羽茜</t>
  </si>
  <si>
    <t>吴昱昊</t>
  </si>
  <si>
    <t>王世才</t>
  </si>
  <si>
    <t>李小芳</t>
  </si>
  <si>
    <t>郑文欣</t>
  </si>
  <si>
    <t>黄霏</t>
  </si>
  <si>
    <t>陈豆豆</t>
  </si>
  <si>
    <t>王琳琳</t>
  </si>
  <si>
    <t>张毕</t>
  </si>
  <si>
    <t>刘奎奇</t>
  </si>
  <si>
    <t>何华春</t>
  </si>
  <si>
    <t>吴莹</t>
  </si>
  <si>
    <t>胡吉玲</t>
  </si>
  <si>
    <t>林清容</t>
  </si>
  <si>
    <t>吴小平</t>
  </si>
  <si>
    <t>柯伟萍</t>
  </si>
  <si>
    <t>羊引花</t>
  </si>
  <si>
    <t>黎吉逢</t>
  </si>
  <si>
    <t>吴寿奇</t>
  </si>
  <si>
    <t>刘奇龙</t>
  </si>
  <si>
    <t>戴奇湘</t>
  </si>
  <si>
    <t>符月</t>
  </si>
  <si>
    <t>陶宏雪</t>
  </si>
  <si>
    <t>徐雅丽</t>
  </si>
  <si>
    <t>黎霞</t>
  </si>
  <si>
    <t>周净</t>
  </si>
  <si>
    <t>周慧颖</t>
  </si>
  <si>
    <t>梁小燕</t>
  </si>
  <si>
    <t>唐倩</t>
  </si>
  <si>
    <t>李若贤</t>
  </si>
  <si>
    <t>邹大帆</t>
  </si>
  <si>
    <t>羊红花</t>
  </si>
  <si>
    <t>高婉婷</t>
  </si>
  <si>
    <t>刘炫志</t>
  </si>
  <si>
    <t>郑珍妮</t>
  </si>
  <si>
    <t>唐东颖</t>
  </si>
  <si>
    <t>郑来南</t>
  </si>
  <si>
    <t>梁贤</t>
  </si>
  <si>
    <t>陈萧洋</t>
  </si>
  <si>
    <t>邱婵</t>
  </si>
  <si>
    <t>彭丽</t>
  </si>
  <si>
    <t>符丹莹</t>
  </si>
  <si>
    <t>许慧婷</t>
  </si>
  <si>
    <t>戴菁蔓</t>
  </si>
  <si>
    <t>黎芸</t>
  </si>
  <si>
    <t>张欣雨</t>
  </si>
  <si>
    <t>修铭遥</t>
  </si>
  <si>
    <t>李明珍</t>
  </si>
  <si>
    <t>卢兴小</t>
  </si>
  <si>
    <t>蔡心怡</t>
  </si>
  <si>
    <t>容泽莹</t>
  </si>
  <si>
    <t>符莉春</t>
  </si>
  <si>
    <t>林克汉</t>
  </si>
  <si>
    <t>鄞嘉</t>
  </si>
  <si>
    <t>王腾雪</t>
  </si>
  <si>
    <t>赵美意</t>
  </si>
  <si>
    <t>张海慧</t>
  </si>
  <si>
    <t>李宜蔓</t>
  </si>
  <si>
    <t>刘恩辰</t>
  </si>
  <si>
    <t>紫诗雨</t>
  </si>
  <si>
    <t>王佳琪</t>
  </si>
  <si>
    <t>张艺珊</t>
  </si>
  <si>
    <t>郇小庆</t>
  </si>
  <si>
    <t>张宇蝶</t>
  </si>
  <si>
    <t>龙俊国</t>
  </si>
  <si>
    <t>王小琼</t>
  </si>
  <si>
    <t>吴玉霞</t>
  </si>
  <si>
    <t>刘可</t>
  </si>
  <si>
    <t>潘玉婷</t>
  </si>
  <si>
    <t>符卓燕</t>
  </si>
  <si>
    <t>彭玲</t>
  </si>
  <si>
    <t>王梦珍</t>
  </si>
  <si>
    <t>陈峥嵘</t>
  </si>
  <si>
    <t>刘燕女</t>
  </si>
  <si>
    <t>陈杨</t>
  </si>
  <si>
    <t>谢丽雯</t>
  </si>
  <si>
    <t>李爱妍</t>
  </si>
  <si>
    <t>董吉芬</t>
  </si>
  <si>
    <t>朱思瑾</t>
  </si>
  <si>
    <t>周炳惠</t>
  </si>
  <si>
    <t>黄语薇</t>
  </si>
  <si>
    <t>黄慧敏</t>
  </si>
  <si>
    <t>卢雪思</t>
  </si>
  <si>
    <t>钟小珍</t>
  </si>
  <si>
    <t>徐英娜</t>
  </si>
  <si>
    <t>唐海灵</t>
  </si>
  <si>
    <t>邢曼珺</t>
  </si>
  <si>
    <t>陈永艳</t>
  </si>
  <si>
    <t>韩东江</t>
  </si>
  <si>
    <t>麦健</t>
  </si>
  <si>
    <t>黄子虹</t>
  </si>
  <si>
    <t>谢媛媛</t>
  </si>
  <si>
    <t>王引南</t>
  </si>
  <si>
    <t>苏燕妮</t>
  </si>
  <si>
    <t>李冬秀</t>
  </si>
  <si>
    <t>符贵娜</t>
  </si>
  <si>
    <t>单忠强</t>
  </si>
  <si>
    <t>王欣怡</t>
  </si>
  <si>
    <t>梁颖磊</t>
  </si>
  <si>
    <t>邢妍</t>
  </si>
  <si>
    <t>潘星颖</t>
  </si>
  <si>
    <t>王琼悦</t>
  </si>
  <si>
    <t>吴广朗</t>
  </si>
  <si>
    <t>吴玫昕</t>
  </si>
  <si>
    <t>唐玥</t>
  </si>
  <si>
    <t>吕小燕</t>
  </si>
  <si>
    <t>李小静</t>
  </si>
  <si>
    <t>石玉</t>
  </si>
  <si>
    <t>冯小翠</t>
  </si>
  <si>
    <t>林杏</t>
  </si>
  <si>
    <t>云晓璐</t>
  </si>
  <si>
    <t>李洵</t>
  </si>
  <si>
    <t>曾垂蓉</t>
  </si>
  <si>
    <t>林爽</t>
  </si>
  <si>
    <t>张玉芳</t>
  </si>
  <si>
    <t>师自星</t>
  </si>
  <si>
    <t>陈德勤</t>
  </si>
  <si>
    <t>黄城程</t>
  </si>
  <si>
    <t>陈延岁</t>
  </si>
  <si>
    <t>邢维鹏</t>
  </si>
  <si>
    <t>林海燕</t>
  </si>
  <si>
    <t>冯推义</t>
  </si>
  <si>
    <t>戚晓文</t>
  </si>
  <si>
    <t>李亮娜</t>
  </si>
  <si>
    <t>吴海丹</t>
  </si>
  <si>
    <t>方婷婷</t>
  </si>
  <si>
    <t>石龙霞</t>
  </si>
  <si>
    <t>童浇荟</t>
  </si>
  <si>
    <t>李振飞</t>
  </si>
  <si>
    <t>符秀英</t>
  </si>
  <si>
    <t>杜金泳</t>
  </si>
  <si>
    <t>王彬彬</t>
  </si>
  <si>
    <t>苏闻怡</t>
  </si>
  <si>
    <t>罗娟</t>
  </si>
  <si>
    <t>卓会玲</t>
  </si>
  <si>
    <t>潘小果</t>
  </si>
  <si>
    <t>林翠霞</t>
  </si>
  <si>
    <t>林小妹</t>
  </si>
  <si>
    <t>朱晶晶</t>
  </si>
  <si>
    <t>黄金恋</t>
  </si>
  <si>
    <t>李志慧</t>
  </si>
  <si>
    <t>冯娉婷</t>
  </si>
  <si>
    <t>张玉玲</t>
  </si>
  <si>
    <t>王焕妙</t>
  </si>
  <si>
    <t>王华怡</t>
  </si>
  <si>
    <t>全棋棋</t>
  </si>
  <si>
    <t>张苗</t>
  </si>
  <si>
    <t>李芳曼</t>
  </si>
  <si>
    <t>何益舅</t>
  </si>
  <si>
    <t>李金爱</t>
  </si>
  <si>
    <t>陈淑娩</t>
  </si>
  <si>
    <t>李梦梅</t>
  </si>
  <si>
    <t>李婷梅</t>
  </si>
  <si>
    <t>李朝阳</t>
  </si>
  <si>
    <t>吴文妹</t>
  </si>
  <si>
    <t>唐娟</t>
  </si>
  <si>
    <t>薛鸿业</t>
  </si>
  <si>
    <t>吴柳颖</t>
  </si>
  <si>
    <t>杨小香</t>
  </si>
  <si>
    <t>邓霖</t>
  </si>
  <si>
    <t>王景谊</t>
  </si>
  <si>
    <t>郑孝芬</t>
  </si>
  <si>
    <t>罗彬航</t>
  </si>
  <si>
    <t>陈英</t>
  </si>
  <si>
    <t>翁颖颖</t>
  </si>
  <si>
    <t>陈喜美</t>
  </si>
  <si>
    <t>吉静</t>
  </si>
  <si>
    <t>蒲博</t>
  </si>
  <si>
    <t>朱云梅</t>
  </si>
  <si>
    <t>林侨仙</t>
  </si>
  <si>
    <t>梁君</t>
  </si>
  <si>
    <t>刘思</t>
  </si>
  <si>
    <t>黄舒娜</t>
  </si>
  <si>
    <t>王乃朴</t>
  </si>
  <si>
    <t>郑彩茵</t>
  </si>
  <si>
    <t>钟海康</t>
  </si>
  <si>
    <t>李昕</t>
  </si>
  <si>
    <t>郑小蓉</t>
  </si>
  <si>
    <t>苏定棨</t>
  </si>
  <si>
    <t>罗飘</t>
  </si>
  <si>
    <t>吴惠转</t>
  </si>
  <si>
    <t>刘锦</t>
  </si>
  <si>
    <t>陈慧瑶</t>
  </si>
  <si>
    <t>戴君华</t>
  </si>
  <si>
    <t>沈佳怡</t>
  </si>
  <si>
    <t>郑雅琪</t>
  </si>
  <si>
    <t>陈佩佩</t>
  </si>
  <si>
    <t>李子琪</t>
  </si>
  <si>
    <t>关晓婉</t>
  </si>
  <si>
    <t>李廷轲</t>
  </si>
  <si>
    <t>张夏敏</t>
  </si>
  <si>
    <t>刘文涛</t>
  </si>
  <si>
    <t>袁洁莹</t>
  </si>
  <si>
    <t>陈婷婷</t>
  </si>
  <si>
    <t>符儒玲</t>
  </si>
  <si>
    <t>陈欢琼</t>
  </si>
  <si>
    <t>孔令萱</t>
  </si>
  <si>
    <t>符春令</t>
  </si>
  <si>
    <t>张嘉琪</t>
  </si>
  <si>
    <t>许婷玉</t>
  </si>
  <si>
    <t>花红颖</t>
  </si>
  <si>
    <t>林月倩</t>
  </si>
  <si>
    <t>胡正果</t>
  </si>
  <si>
    <t>詹健宁</t>
  </si>
  <si>
    <t>李涵禧</t>
  </si>
  <si>
    <t>梁昌美</t>
  </si>
  <si>
    <t>姜雨彤</t>
  </si>
  <si>
    <t>廖传宁</t>
  </si>
  <si>
    <t>黄朝静</t>
  </si>
  <si>
    <t>陈乐</t>
  </si>
  <si>
    <t>林乙慢</t>
  </si>
  <si>
    <t>卢保颖</t>
  </si>
  <si>
    <t>王月</t>
  </si>
  <si>
    <t>魏星</t>
  </si>
  <si>
    <t>金熙雨</t>
  </si>
  <si>
    <t>陈春燕</t>
  </si>
  <si>
    <t>许中雯</t>
  </si>
  <si>
    <t>王慧</t>
  </si>
  <si>
    <t>邝庆佳</t>
  </si>
  <si>
    <t>耿瑞懿</t>
  </si>
  <si>
    <t>韩玫君</t>
  </si>
  <si>
    <t>倪明慧</t>
  </si>
  <si>
    <t>陈月菊</t>
  </si>
  <si>
    <t>谢锦颖</t>
  </si>
  <si>
    <t>冼忠英</t>
  </si>
  <si>
    <t>吴小婷</t>
  </si>
  <si>
    <t>林丽</t>
  </si>
  <si>
    <t>许书跃</t>
  </si>
  <si>
    <t>李笑妍</t>
  </si>
  <si>
    <t>冯雅琳</t>
  </si>
  <si>
    <t>林文露</t>
  </si>
  <si>
    <t>王再伶</t>
  </si>
  <si>
    <t>侯晓玲</t>
  </si>
  <si>
    <t>田师文</t>
  </si>
  <si>
    <t>陈英兰</t>
  </si>
  <si>
    <t>吕源</t>
  </si>
  <si>
    <t>王海师</t>
  </si>
  <si>
    <t>符永丽</t>
  </si>
  <si>
    <t>冯丹青</t>
  </si>
  <si>
    <t>蔡汝瑞</t>
  </si>
  <si>
    <t>任珮珊</t>
  </si>
  <si>
    <t>张莉莉</t>
  </si>
  <si>
    <t>董翠浪</t>
  </si>
  <si>
    <t>王紫怡</t>
  </si>
  <si>
    <t>吴多超</t>
  </si>
  <si>
    <t>陈力菁</t>
  </si>
  <si>
    <t>谢芳耀</t>
  </si>
  <si>
    <t>王爱茹</t>
  </si>
  <si>
    <t>吴钟锋</t>
  </si>
  <si>
    <t>符茵</t>
  </si>
  <si>
    <t>梁宏建</t>
  </si>
  <si>
    <t>叶晨曦</t>
  </si>
  <si>
    <t>王永秋</t>
  </si>
  <si>
    <t>邱优</t>
  </si>
  <si>
    <t>毛萍</t>
  </si>
  <si>
    <t>陈培</t>
  </si>
  <si>
    <t>陈忠宇</t>
  </si>
  <si>
    <t>徐紫霞</t>
  </si>
  <si>
    <t>符丽娜</t>
  </si>
  <si>
    <t>许巍伟</t>
  </si>
  <si>
    <t>刘桐冰</t>
  </si>
  <si>
    <t>吴欣贝</t>
  </si>
  <si>
    <t>张穆强</t>
  </si>
  <si>
    <t>戚成威</t>
  </si>
  <si>
    <t>洪祺晴</t>
  </si>
  <si>
    <t>林琳</t>
  </si>
  <si>
    <t>李骋</t>
  </si>
  <si>
    <t>黄岛</t>
  </si>
  <si>
    <t>王冬妹</t>
  </si>
  <si>
    <t>李金梅</t>
  </si>
  <si>
    <t>蔡秋荻</t>
  </si>
  <si>
    <t>陈香倩</t>
  </si>
  <si>
    <t>张福鑫</t>
  </si>
  <si>
    <t>李实荃</t>
  </si>
  <si>
    <t>黄慧欣</t>
  </si>
  <si>
    <t>吴曼怡</t>
  </si>
  <si>
    <t>余莉秋</t>
  </si>
  <si>
    <t>赵玉丹</t>
  </si>
  <si>
    <t>王子童</t>
  </si>
  <si>
    <t>王祥齐</t>
  </si>
  <si>
    <t>张娟</t>
  </si>
  <si>
    <t>凌倩红</t>
  </si>
  <si>
    <t>叶谨瑄</t>
  </si>
  <si>
    <t>李文琦</t>
  </si>
  <si>
    <t>何怡</t>
  </si>
  <si>
    <t>黄叶莹</t>
  </si>
  <si>
    <t>邓易璐</t>
  </si>
  <si>
    <t>张硕</t>
  </si>
  <si>
    <t>许真真</t>
  </si>
  <si>
    <t>刘殷宇</t>
  </si>
  <si>
    <t>祝小茹</t>
  </si>
  <si>
    <t>吴淑娃</t>
  </si>
  <si>
    <t>陈泽慧</t>
  </si>
  <si>
    <t>石造</t>
  </si>
  <si>
    <t>符卜英</t>
  </si>
  <si>
    <t>薛乾桃</t>
  </si>
  <si>
    <t>李海莲</t>
  </si>
  <si>
    <t>王家琦</t>
  </si>
  <si>
    <t>陈积丹</t>
  </si>
  <si>
    <t>李全霞</t>
  </si>
  <si>
    <t>何儒妹</t>
  </si>
  <si>
    <t>王椰倩</t>
  </si>
  <si>
    <t>许原源</t>
  </si>
  <si>
    <t>郭圣汝</t>
  </si>
  <si>
    <t>刘帅晶</t>
  </si>
  <si>
    <t>林梦玲</t>
  </si>
  <si>
    <t>陈娟</t>
  </si>
  <si>
    <t>刘钰蓥</t>
  </si>
  <si>
    <t>黄凤</t>
  </si>
  <si>
    <t>李学伟</t>
  </si>
  <si>
    <t>李盈颖</t>
  </si>
  <si>
    <t>韩小媛</t>
  </si>
  <si>
    <t>朱小倩</t>
  </si>
  <si>
    <t>钟小晶</t>
  </si>
  <si>
    <t>范衍满</t>
  </si>
  <si>
    <t>胡雨茜</t>
  </si>
  <si>
    <t>李唐</t>
  </si>
  <si>
    <t>王斌</t>
  </si>
  <si>
    <t>梁慧</t>
  </si>
  <si>
    <t>王琪</t>
  </si>
  <si>
    <t>陈洪</t>
  </si>
  <si>
    <t>李京栗</t>
  </si>
  <si>
    <t>唐家杏</t>
  </si>
  <si>
    <t>唐海梅</t>
  </si>
  <si>
    <t>吴春杏</t>
  </si>
  <si>
    <t>吉家慧</t>
  </si>
  <si>
    <t>李世俊</t>
  </si>
  <si>
    <t>饶祥琪</t>
  </si>
  <si>
    <t>陈秋婉</t>
  </si>
  <si>
    <t>龙侦</t>
  </si>
  <si>
    <t>文真真</t>
  </si>
  <si>
    <t>苏小曼</t>
  </si>
  <si>
    <t>温月妃</t>
  </si>
  <si>
    <t>吴俐</t>
  </si>
  <si>
    <t>刘如艳</t>
  </si>
  <si>
    <t>符亚媚</t>
  </si>
  <si>
    <t>陈少玲</t>
  </si>
  <si>
    <t>苏国林</t>
  </si>
  <si>
    <t>代旭</t>
  </si>
  <si>
    <t>谢兴光</t>
  </si>
  <si>
    <t>康文慧</t>
  </si>
  <si>
    <t>欧修月</t>
  </si>
  <si>
    <t>李慧洁</t>
  </si>
  <si>
    <t>李思宇</t>
  </si>
  <si>
    <t>刘晓舒</t>
  </si>
  <si>
    <t>徐晓捐</t>
  </si>
  <si>
    <t>王乃婷</t>
  </si>
  <si>
    <t>陶丽丽</t>
  </si>
  <si>
    <t>陈果</t>
  </si>
  <si>
    <t>陈保娟</t>
  </si>
  <si>
    <t>葛省睿</t>
  </si>
  <si>
    <t>文英玉</t>
  </si>
  <si>
    <t>徐日蔚</t>
  </si>
  <si>
    <t>罗家伦</t>
  </si>
  <si>
    <t>黎思诗</t>
  </si>
  <si>
    <t>林子玉</t>
  </si>
  <si>
    <t>关晶晶</t>
  </si>
  <si>
    <t>易琴</t>
  </si>
  <si>
    <t>梁娜</t>
  </si>
  <si>
    <t>蔡璟</t>
  </si>
  <si>
    <t>李桂娟</t>
  </si>
  <si>
    <t>林之瑜</t>
  </si>
  <si>
    <t>雷玉皎</t>
  </si>
  <si>
    <t>吕悦心</t>
  </si>
  <si>
    <t>冯艳青</t>
  </si>
  <si>
    <t>麦丽丽</t>
  </si>
  <si>
    <t>吴佳伊</t>
  </si>
  <si>
    <t>邵秋语</t>
  </si>
  <si>
    <t>吴多敬</t>
  </si>
  <si>
    <t>徐蔚新</t>
  </si>
  <si>
    <t>邱小若</t>
  </si>
  <si>
    <t>邱发莹</t>
  </si>
  <si>
    <t>王容</t>
  </si>
  <si>
    <t>潘贤政</t>
  </si>
  <si>
    <t>林丽红</t>
  </si>
  <si>
    <t>余敏</t>
  </si>
  <si>
    <t>陈亲盼</t>
  </si>
  <si>
    <t>符永达</t>
  </si>
  <si>
    <t>陈曼虹</t>
  </si>
  <si>
    <t>谭钰</t>
  </si>
  <si>
    <t>麦晓星</t>
  </si>
  <si>
    <t>林少余</t>
  </si>
  <si>
    <t>李小英</t>
  </si>
  <si>
    <t>吴佳芳</t>
  </si>
  <si>
    <t>卓怀珍</t>
  </si>
  <si>
    <t>李精慧</t>
  </si>
  <si>
    <t>李怡敏</t>
  </si>
  <si>
    <t>符丽春</t>
  </si>
  <si>
    <t>穆心怡</t>
  </si>
  <si>
    <t>陈如金</t>
  </si>
  <si>
    <t>黄诗语</t>
  </si>
  <si>
    <t>黄春城</t>
  </si>
  <si>
    <t>潘正芳</t>
  </si>
  <si>
    <t>李莹</t>
  </si>
  <si>
    <t>王一如</t>
  </si>
  <si>
    <t>麦于菁</t>
  </si>
  <si>
    <t>黄佳谊</t>
  </si>
  <si>
    <t>吴文舒</t>
  </si>
  <si>
    <t>曾龙</t>
  </si>
  <si>
    <t>张元馨</t>
  </si>
  <si>
    <t>李英铭</t>
  </si>
  <si>
    <t>邱名玉</t>
  </si>
  <si>
    <t>乔锦涛</t>
  </si>
  <si>
    <t>黎定妹</t>
  </si>
  <si>
    <t>高刚</t>
  </si>
  <si>
    <t>梁乾英</t>
  </si>
  <si>
    <t>陈雪琳</t>
  </si>
  <si>
    <t>符芳叶</t>
  </si>
  <si>
    <t>符青灵</t>
  </si>
  <si>
    <t>王敏慧</t>
  </si>
  <si>
    <t>王小翠</t>
  </si>
  <si>
    <t>梁燕媚</t>
  </si>
  <si>
    <t>雷淑娟</t>
  </si>
  <si>
    <t>刘文翠</t>
  </si>
  <si>
    <t>何丽萍</t>
  </si>
  <si>
    <t>李云寒</t>
  </si>
  <si>
    <t>黄浪</t>
  </si>
  <si>
    <t>范春丽</t>
  </si>
  <si>
    <t>张瑜香</t>
  </si>
  <si>
    <t>王力茁</t>
  </si>
  <si>
    <t>羊和婷</t>
  </si>
  <si>
    <t>羊俊萍</t>
  </si>
  <si>
    <t>曾庆菊</t>
  </si>
  <si>
    <t>符叶彩</t>
  </si>
  <si>
    <t>许汝萍</t>
  </si>
  <si>
    <t>倪金娇</t>
  </si>
  <si>
    <t>符瑞羽</t>
  </si>
  <si>
    <t>陈丽鸿</t>
  </si>
  <si>
    <t>梁晨昊</t>
  </si>
  <si>
    <t>田聪</t>
  </si>
  <si>
    <t>赵阿兰</t>
  </si>
  <si>
    <t>蔡彦峥</t>
  </si>
  <si>
    <t>欧阳丹虹</t>
  </si>
  <si>
    <t>吴德爱</t>
  </si>
  <si>
    <t>马梦杰</t>
  </si>
  <si>
    <t>史知昀</t>
  </si>
  <si>
    <t>林子叶</t>
  </si>
  <si>
    <t>李香君</t>
  </si>
  <si>
    <t>王子涵</t>
  </si>
  <si>
    <t>卢家宏</t>
  </si>
  <si>
    <t>车芸伊</t>
  </si>
  <si>
    <t>林良妹</t>
  </si>
  <si>
    <t>冯小妹</t>
  </si>
  <si>
    <t>周晓红</t>
  </si>
  <si>
    <t>王津津</t>
  </si>
  <si>
    <t>陈玉敏</t>
  </si>
  <si>
    <t>云紫玉</t>
  </si>
  <si>
    <t>符琼尹</t>
  </si>
  <si>
    <t>符启坚</t>
  </si>
  <si>
    <t>陈盈</t>
  </si>
  <si>
    <t>徐怡娴</t>
  </si>
  <si>
    <t>樊伟玲</t>
  </si>
  <si>
    <t>陈芳</t>
  </si>
  <si>
    <t>梁祺</t>
  </si>
  <si>
    <t>黎杜伟</t>
  </si>
  <si>
    <t>丁彩云</t>
  </si>
  <si>
    <t>许苒</t>
  </si>
  <si>
    <t>曾德龙</t>
  </si>
  <si>
    <t>黄晶</t>
  </si>
  <si>
    <t>李美桂</t>
  </si>
  <si>
    <t>林琼转</t>
  </si>
  <si>
    <t>林敏瑜</t>
  </si>
  <si>
    <t>赵菊瑞</t>
  </si>
  <si>
    <t>林道锦</t>
  </si>
  <si>
    <t>吴富菊</t>
  </si>
  <si>
    <t>蒙超莹</t>
  </si>
  <si>
    <t>王彬</t>
  </si>
  <si>
    <t>符力丹</t>
  </si>
  <si>
    <t>卢洁炜</t>
  </si>
  <si>
    <t>刘娅妮</t>
  </si>
  <si>
    <t>吴忠玲</t>
  </si>
  <si>
    <t>刘国庆</t>
  </si>
  <si>
    <t>凌日进</t>
  </si>
  <si>
    <t>刘小雪</t>
  </si>
  <si>
    <t>姜姗姗</t>
  </si>
  <si>
    <t>张向齐</t>
  </si>
  <si>
    <t>李冰</t>
  </si>
  <si>
    <t>刘岩</t>
  </si>
  <si>
    <t>汤玉丹</t>
  </si>
  <si>
    <t>袁毅</t>
  </si>
  <si>
    <t>张鸣</t>
  </si>
  <si>
    <t>吕晓雪</t>
  </si>
  <si>
    <t>郭志强</t>
  </si>
  <si>
    <t>吴多茂</t>
  </si>
  <si>
    <t>张冰莹</t>
  </si>
  <si>
    <t>苏小妹</t>
  </si>
  <si>
    <t>吴倩</t>
  </si>
  <si>
    <t>罗威威</t>
  </si>
  <si>
    <t>张小短</t>
  </si>
  <si>
    <t>麦世兵</t>
  </si>
  <si>
    <t>任梦娜</t>
  </si>
  <si>
    <t>游文婷</t>
  </si>
  <si>
    <t>包峻娟</t>
  </si>
  <si>
    <t>林娜</t>
  </si>
  <si>
    <t>唐子国</t>
  </si>
  <si>
    <t>姜沛含</t>
  </si>
  <si>
    <t>董小爱</t>
  </si>
  <si>
    <t>苏佳玲</t>
  </si>
  <si>
    <t>薛阳阳</t>
  </si>
  <si>
    <t>符颖竹</t>
  </si>
  <si>
    <t>王淼</t>
  </si>
  <si>
    <t>蔡蔷</t>
  </si>
  <si>
    <t>曾惠雯</t>
  </si>
  <si>
    <t>陈柳屹</t>
  </si>
  <si>
    <t>李乃龙</t>
  </si>
  <si>
    <t>杨春花</t>
  </si>
  <si>
    <t>谢焕彦</t>
  </si>
  <si>
    <t>陈俊余</t>
  </si>
  <si>
    <t>王玉銮</t>
  </si>
  <si>
    <t>李顺凡</t>
  </si>
  <si>
    <t>王惜月</t>
  </si>
  <si>
    <t>许毅光</t>
  </si>
  <si>
    <t>朱进霞</t>
  </si>
  <si>
    <t>罗少静</t>
  </si>
  <si>
    <t>颜巧婷</t>
  </si>
  <si>
    <t>黄春苗</t>
  </si>
  <si>
    <t>金秋</t>
  </si>
  <si>
    <t>陈玉凤</t>
  </si>
  <si>
    <t>王梁英</t>
  </si>
  <si>
    <t>陈婴谊</t>
  </si>
  <si>
    <t>朱信彩</t>
  </si>
  <si>
    <t>黄琪</t>
  </si>
  <si>
    <t>郑薇薇</t>
  </si>
  <si>
    <t>林少云</t>
  </si>
  <si>
    <t>王燕莹</t>
  </si>
  <si>
    <t>董清艳</t>
  </si>
  <si>
    <t>叶造艳</t>
  </si>
  <si>
    <t>卢涛</t>
  </si>
  <si>
    <t>黄海鸥</t>
  </si>
  <si>
    <t>甘翔宇</t>
  </si>
  <si>
    <t>桂俊盈</t>
  </si>
  <si>
    <t>黎彩宝</t>
  </si>
  <si>
    <t>袁林军</t>
  </si>
  <si>
    <t>谢景瑜</t>
  </si>
  <si>
    <t>卢俏慧</t>
  </si>
  <si>
    <t>何昕</t>
  </si>
  <si>
    <t>王秀琳</t>
  </si>
  <si>
    <t>徐芙蓉</t>
  </si>
  <si>
    <t>钟彪</t>
  </si>
  <si>
    <t>魏婷婷</t>
  </si>
  <si>
    <t>王茄茄</t>
  </si>
  <si>
    <t>郭皇妹</t>
  </si>
  <si>
    <t>邢文秀</t>
  </si>
  <si>
    <t>蔡南虎</t>
  </si>
  <si>
    <t>黄群</t>
  </si>
  <si>
    <t>郑慧琴</t>
  </si>
  <si>
    <t>叶造民</t>
  </si>
  <si>
    <t>羊静静</t>
  </si>
  <si>
    <t>卢振忠</t>
  </si>
  <si>
    <t>王灵洁</t>
  </si>
  <si>
    <t>刘超业</t>
  </si>
  <si>
    <t>林大志</t>
  </si>
  <si>
    <t>杨容容</t>
  </si>
  <si>
    <t>陈惠敏</t>
  </si>
  <si>
    <t>杨克鸿</t>
  </si>
  <si>
    <t>文亚美</t>
  </si>
  <si>
    <t>符丽敏</t>
  </si>
  <si>
    <t>孙誉</t>
  </si>
  <si>
    <t>陈露</t>
  </si>
  <si>
    <t>杨珍云</t>
  </si>
  <si>
    <t>王小宁</t>
  </si>
  <si>
    <t>关小柳</t>
  </si>
  <si>
    <t>胡童</t>
  </si>
  <si>
    <t>肖颖</t>
  </si>
  <si>
    <t>陈运琨</t>
  </si>
  <si>
    <t>林莉青</t>
  </si>
  <si>
    <t>莫振凯</t>
  </si>
  <si>
    <t>许秀敏</t>
  </si>
  <si>
    <t>杨宗富</t>
  </si>
  <si>
    <t>何青蔚</t>
  </si>
  <si>
    <t>周芙蓉</t>
  </si>
  <si>
    <t>羊家风</t>
  </si>
  <si>
    <t>符连于</t>
  </si>
  <si>
    <t>吕敏</t>
  </si>
  <si>
    <t>吴习忠</t>
  </si>
  <si>
    <t>杨浚艺</t>
  </si>
  <si>
    <t>符亚娜</t>
  </si>
  <si>
    <t>吴云瑶</t>
  </si>
  <si>
    <t>王燕妹</t>
  </si>
  <si>
    <t>王春琼</t>
  </si>
  <si>
    <t>林明歌</t>
  </si>
  <si>
    <t>余忠祥</t>
  </si>
  <si>
    <t>蔡亲贝</t>
  </si>
  <si>
    <t>王宝玉</t>
  </si>
  <si>
    <t>黄燕春</t>
  </si>
  <si>
    <t>陈祺慧</t>
  </si>
  <si>
    <t>杨宗发</t>
  </si>
  <si>
    <t>刘小燕</t>
  </si>
  <si>
    <t>王晓</t>
  </si>
  <si>
    <t>黄云</t>
  </si>
  <si>
    <t>王宇</t>
  </si>
  <si>
    <t>陈飞雪</t>
  </si>
  <si>
    <t>史钰</t>
  </si>
  <si>
    <t>吉训明</t>
  </si>
  <si>
    <t>何琦</t>
  </si>
  <si>
    <t>陈良珍</t>
  </si>
  <si>
    <t>高欣</t>
  </si>
  <si>
    <t>殷礼惠</t>
  </si>
  <si>
    <t>吴展惠</t>
  </si>
  <si>
    <t>符开秀</t>
  </si>
  <si>
    <t>刘宦</t>
  </si>
  <si>
    <t>陈泱</t>
  </si>
  <si>
    <t>符婧柔</t>
  </si>
  <si>
    <t>邓朝晖</t>
  </si>
  <si>
    <t>何静薇</t>
  </si>
  <si>
    <t>杨志聪</t>
  </si>
  <si>
    <t>吴显慧</t>
  </si>
  <si>
    <t>李诗云</t>
  </si>
  <si>
    <t>卢丽婴</t>
  </si>
  <si>
    <t>李浩然</t>
  </si>
  <si>
    <t>韩冬玮</t>
  </si>
  <si>
    <t>王加加</t>
  </si>
  <si>
    <t>云天静</t>
  </si>
  <si>
    <t>黎慧芳</t>
  </si>
  <si>
    <t>李少如</t>
  </si>
  <si>
    <t>符永倩</t>
  </si>
  <si>
    <t>李美</t>
  </si>
  <si>
    <t>黄可</t>
  </si>
  <si>
    <t>吴春秀</t>
  </si>
  <si>
    <t>陈玉晶</t>
  </si>
  <si>
    <t>韩雪</t>
  </si>
  <si>
    <t>郑鹏飞</t>
  </si>
  <si>
    <t>陈欢</t>
  </si>
  <si>
    <t>曾开秀</t>
  </si>
  <si>
    <t>胡珊珊</t>
  </si>
  <si>
    <t>张文婷</t>
  </si>
  <si>
    <t>韩婧</t>
  </si>
  <si>
    <t>郑雅慧</t>
  </si>
  <si>
    <t>杨振宇</t>
  </si>
  <si>
    <t>翁美玉</t>
  </si>
  <si>
    <t>谢仙妹</t>
  </si>
  <si>
    <t>吉英</t>
  </si>
  <si>
    <t>郑刚花</t>
  </si>
  <si>
    <t>蔡怡欣</t>
  </si>
  <si>
    <t>李萍</t>
  </si>
  <si>
    <t>邢孔芸</t>
  </si>
  <si>
    <t>薛珍东</t>
  </si>
  <si>
    <t>吴晓爱</t>
  </si>
  <si>
    <t>黎子扬</t>
  </si>
  <si>
    <t>陈慧容</t>
  </si>
  <si>
    <t>高方倩</t>
  </si>
  <si>
    <t>陈怡涓</t>
  </si>
  <si>
    <t>劳燕丽</t>
  </si>
  <si>
    <t>吴小芬</t>
  </si>
  <si>
    <t>张宝月</t>
  </si>
  <si>
    <t>邢玉洁</t>
  </si>
  <si>
    <t>吴漾</t>
  </si>
  <si>
    <t>林婧娇</t>
  </si>
  <si>
    <t>黄晓静</t>
  </si>
  <si>
    <t>符有平</t>
  </si>
  <si>
    <t>丛文玉</t>
  </si>
  <si>
    <t>孙小茜</t>
  </si>
  <si>
    <t>羊昆妮</t>
  </si>
  <si>
    <t>何惠婷</t>
  </si>
  <si>
    <t>华路路</t>
  </si>
  <si>
    <t>董永霞</t>
  </si>
  <si>
    <t>周琼丽</t>
  </si>
  <si>
    <t>陈亮</t>
  </si>
  <si>
    <t>胡玲</t>
  </si>
  <si>
    <t>魏盼盼</t>
  </si>
  <si>
    <t>梁靖怡</t>
  </si>
  <si>
    <t>戴海源</t>
  </si>
  <si>
    <t>王进</t>
  </si>
  <si>
    <t>邢天姿</t>
  </si>
  <si>
    <t>吴娇燕</t>
  </si>
  <si>
    <t>江雪</t>
  </si>
  <si>
    <t>苏辉</t>
  </si>
  <si>
    <t>罗秋玲</t>
  </si>
  <si>
    <t>杨玲</t>
  </si>
  <si>
    <t>李小娜</t>
  </si>
  <si>
    <t>陈泽宇</t>
  </si>
  <si>
    <t>符鸳</t>
  </si>
  <si>
    <t>陈稍稍</t>
  </si>
  <si>
    <t>刘丽瑶</t>
  </si>
  <si>
    <t>符鹏悦</t>
  </si>
  <si>
    <t>张家维</t>
  </si>
  <si>
    <t>陈巧丽</t>
  </si>
  <si>
    <t>万奕欣</t>
  </si>
  <si>
    <t>刘颖</t>
  </si>
  <si>
    <t>李蕴烨</t>
  </si>
  <si>
    <t>钟赛丽</t>
  </si>
  <si>
    <t>吴英蓉</t>
  </si>
  <si>
    <t>杨双玲</t>
  </si>
  <si>
    <t>林紫丹</t>
  </si>
  <si>
    <t>黄蕊</t>
  </si>
  <si>
    <t>陈烨</t>
  </si>
  <si>
    <t>罗泽雅</t>
  </si>
  <si>
    <t>郭飞怡</t>
  </si>
  <si>
    <t>丁飒</t>
  </si>
  <si>
    <t>符秋香</t>
  </si>
  <si>
    <t>邵思莹</t>
  </si>
  <si>
    <t>孙名慧</t>
  </si>
  <si>
    <t>曲佳佳</t>
  </si>
  <si>
    <t>黄文倩</t>
  </si>
  <si>
    <t>邓华怡</t>
  </si>
  <si>
    <t>许华平</t>
  </si>
  <si>
    <t>符钧洁</t>
  </si>
  <si>
    <t>黄小静</t>
  </si>
  <si>
    <t>麦芳媛</t>
  </si>
  <si>
    <t>林惠玲</t>
  </si>
  <si>
    <t>张学召</t>
  </si>
  <si>
    <t>彭桂程</t>
  </si>
  <si>
    <t>李盈盈</t>
  </si>
  <si>
    <t>聂菲</t>
  </si>
  <si>
    <t>谢小贫</t>
  </si>
  <si>
    <t xml:space="preserve">黄思云 </t>
  </si>
  <si>
    <t>李彩荣</t>
  </si>
  <si>
    <t>吴茂丽</t>
  </si>
  <si>
    <t>唐望锦</t>
  </si>
  <si>
    <t>陈春雨</t>
  </si>
  <si>
    <t>麦云慧</t>
  </si>
  <si>
    <t>史辉禄</t>
  </si>
  <si>
    <t>李茵</t>
  </si>
  <si>
    <t>朱德熙</t>
  </si>
  <si>
    <t>汤正婷</t>
  </si>
  <si>
    <t>吴其芳</t>
  </si>
  <si>
    <t>李丽霞</t>
  </si>
  <si>
    <t>陈紫馨</t>
  </si>
  <si>
    <t>蔡紫</t>
  </si>
  <si>
    <t>吴秋婷</t>
  </si>
  <si>
    <t>高芳莉</t>
  </si>
  <si>
    <t>李洁钬</t>
  </si>
  <si>
    <t>陈滢滢</t>
  </si>
  <si>
    <t>宋健齐</t>
  </si>
  <si>
    <t>邓小豪</t>
  </si>
  <si>
    <t>朱昌弘</t>
  </si>
  <si>
    <t>向恒萱</t>
  </si>
  <si>
    <t>陈霏</t>
  </si>
  <si>
    <t>邱炜中</t>
  </si>
  <si>
    <t>谭惠予</t>
  </si>
  <si>
    <t>邓美玲</t>
  </si>
  <si>
    <t>谢婷丽</t>
  </si>
  <si>
    <t>林顺</t>
  </si>
  <si>
    <t>冯成伟</t>
  </si>
  <si>
    <t>黄宜婷</t>
  </si>
  <si>
    <t>陈秋男</t>
  </si>
  <si>
    <t>冯玉玲</t>
  </si>
  <si>
    <t>贺云凤</t>
  </si>
  <si>
    <t>陈香宇</t>
  </si>
  <si>
    <t>张晶晶</t>
  </si>
  <si>
    <t>符金于</t>
  </si>
  <si>
    <t>李品</t>
  </si>
  <si>
    <t>钟永莹</t>
  </si>
  <si>
    <t>王雪冰</t>
  </si>
  <si>
    <t>栗翔</t>
  </si>
  <si>
    <t>符策坚</t>
  </si>
  <si>
    <t>王瑶玥</t>
  </si>
  <si>
    <t xml:space="preserve">陈正宜 </t>
  </si>
  <si>
    <t>陈晓倪</t>
  </si>
  <si>
    <t>文泽栋</t>
  </si>
  <si>
    <t>戴志涛</t>
  </si>
  <si>
    <t>蔡江林</t>
  </si>
  <si>
    <t>曾德寰</t>
  </si>
  <si>
    <t>彭菊丽</t>
  </si>
  <si>
    <t>符永香</t>
  </si>
  <si>
    <t>陈思佳</t>
  </si>
  <si>
    <t>赵炎</t>
  </si>
  <si>
    <t>陆青茹</t>
  </si>
  <si>
    <t>陈莎莉</t>
  </si>
  <si>
    <t>王伟祥</t>
  </si>
  <si>
    <t>林师颖</t>
  </si>
  <si>
    <t>陈晓莹</t>
  </si>
  <si>
    <t>符思琳</t>
  </si>
  <si>
    <t>林柳红</t>
  </si>
  <si>
    <t>吴丽佳</t>
  </si>
  <si>
    <t>何江民</t>
  </si>
  <si>
    <t>李松荣</t>
  </si>
  <si>
    <t>符艳艳</t>
  </si>
  <si>
    <t>莫庄文</t>
  </si>
  <si>
    <t>杨小叶</t>
  </si>
  <si>
    <t>杨康凤</t>
  </si>
  <si>
    <t>陈玥</t>
  </si>
  <si>
    <t>冷姗姗</t>
  </si>
  <si>
    <t>黄杰</t>
  </si>
  <si>
    <t>黎如隆</t>
  </si>
  <si>
    <t>朱巧娟</t>
  </si>
  <si>
    <t>黄金娜</t>
  </si>
  <si>
    <t>李梦圆</t>
  </si>
  <si>
    <t>李春花</t>
  </si>
  <si>
    <t>曾玉娟</t>
  </si>
  <si>
    <t>刘亚</t>
  </si>
  <si>
    <t>邢惠婷</t>
  </si>
  <si>
    <t>曾耀英</t>
  </si>
  <si>
    <t>王希羽</t>
  </si>
  <si>
    <t>陈春微</t>
  </si>
  <si>
    <t>吴雪婷</t>
  </si>
  <si>
    <t>张勇宁</t>
  </si>
  <si>
    <t>朱玉萱</t>
  </si>
  <si>
    <t>胡茂珊</t>
  </si>
  <si>
    <t>彭慧</t>
  </si>
  <si>
    <t>裴业深</t>
  </si>
  <si>
    <t>谢光霞</t>
  </si>
  <si>
    <t>黄文馨</t>
  </si>
  <si>
    <t>杨雪晴</t>
  </si>
  <si>
    <t>陈良秋</t>
  </si>
  <si>
    <t>王雅欣</t>
  </si>
  <si>
    <t>高珍桃</t>
  </si>
  <si>
    <t>何俏雯</t>
  </si>
  <si>
    <t>严旖希</t>
  </si>
  <si>
    <t>张琴寅</t>
  </si>
  <si>
    <t>刘洪祥</t>
  </si>
  <si>
    <t>符学壮</t>
  </si>
  <si>
    <t>陈福女</t>
  </si>
  <si>
    <t>薛小羽</t>
  </si>
  <si>
    <t>巩嘉伟</t>
  </si>
  <si>
    <t>赵翠翠</t>
  </si>
  <si>
    <t>曾凡奚</t>
  </si>
  <si>
    <t>陈昭颖</t>
  </si>
  <si>
    <t>王冬玲</t>
  </si>
  <si>
    <t>王小庭</t>
  </si>
  <si>
    <t>邢思荟</t>
  </si>
  <si>
    <t>于晓梅</t>
  </si>
  <si>
    <t>陈翠婷</t>
  </si>
  <si>
    <t>孙佳欣</t>
  </si>
  <si>
    <t>张玉如</t>
  </si>
  <si>
    <t>詹怡菲</t>
  </si>
  <si>
    <t>梁志丹</t>
  </si>
  <si>
    <t>卞卡娜</t>
  </si>
  <si>
    <t>陈秦帅</t>
  </si>
  <si>
    <t>李丽菲</t>
  </si>
  <si>
    <t>郑岚尹</t>
  </si>
  <si>
    <t>钟朝云</t>
  </si>
  <si>
    <t>吴江花</t>
  </si>
  <si>
    <t>王茜茜</t>
  </si>
  <si>
    <t>张媚媚</t>
  </si>
  <si>
    <t>方竹</t>
  </si>
  <si>
    <t>李小斌</t>
  </si>
  <si>
    <t>王谦骏</t>
  </si>
  <si>
    <t>黄秋坛</t>
  </si>
  <si>
    <t>甘露怡</t>
  </si>
  <si>
    <t>陈晓杰</t>
  </si>
  <si>
    <t>张深珠</t>
  </si>
  <si>
    <t>符梅</t>
  </si>
  <si>
    <t>黄淑婉</t>
  </si>
  <si>
    <t>谭天怡</t>
  </si>
  <si>
    <t>李梓睿</t>
  </si>
  <si>
    <t>翁小冰</t>
  </si>
  <si>
    <t>王茵茵</t>
  </si>
  <si>
    <t>蔡运笑</t>
  </si>
  <si>
    <t>王澜</t>
  </si>
  <si>
    <t>陈苑雯</t>
  </si>
  <si>
    <t>李玟</t>
  </si>
  <si>
    <t>王楠</t>
  </si>
  <si>
    <t>吉丽婷</t>
  </si>
  <si>
    <t>梁媛</t>
  </si>
  <si>
    <t>郭宗翠</t>
  </si>
  <si>
    <t>陈银美</t>
  </si>
  <si>
    <t>黎亚芳</t>
  </si>
  <si>
    <t>李虹</t>
  </si>
  <si>
    <t>吉世璧</t>
  </si>
  <si>
    <t>范海鹏</t>
  </si>
  <si>
    <t>陈晓涵</t>
  </si>
  <si>
    <t>符春庆</t>
  </si>
  <si>
    <t>张亚格</t>
  </si>
  <si>
    <t>吴晓惠</t>
  </si>
  <si>
    <t>符春秀</t>
  </si>
  <si>
    <t>郑晶晶</t>
  </si>
  <si>
    <t>黄景</t>
  </si>
  <si>
    <t>符乃娟</t>
  </si>
  <si>
    <t>马靓</t>
  </si>
  <si>
    <t>劳琬淯</t>
  </si>
  <si>
    <t>薛伟红</t>
  </si>
  <si>
    <t>严秀东</t>
  </si>
  <si>
    <t>裴欢欢</t>
  </si>
  <si>
    <t>李踊</t>
  </si>
  <si>
    <t>高忠霞</t>
  </si>
  <si>
    <t>莫海媛</t>
  </si>
  <si>
    <t>韦卫天</t>
  </si>
  <si>
    <t>肖薇薇</t>
  </si>
  <si>
    <t>符永璋</t>
  </si>
  <si>
    <t>林艳华</t>
  </si>
  <si>
    <t>李淑瑜</t>
  </si>
  <si>
    <t>符有月</t>
  </si>
  <si>
    <t>祝育锦</t>
  </si>
  <si>
    <t>黄乔恋</t>
  </si>
  <si>
    <t>邢淑慧</t>
  </si>
  <si>
    <t>黄秋曲</t>
  </si>
  <si>
    <t>冯婷婷</t>
  </si>
  <si>
    <t>郑堂基</t>
  </si>
  <si>
    <t>陈春秀</t>
  </si>
  <si>
    <t>罗晓婧</t>
  </si>
  <si>
    <t>陈昱岐</t>
  </si>
  <si>
    <t>张千帆</t>
  </si>
  <si>
    <t>陈彩文</t>
  </si>
  <si>
    <t>邢文婧</t>
  </si>
  <si>
    <t>王李蓉</t>
  </si>
  <si>
    <t>石萃婉</t>
  </si>
  <si>
    <t>陈春丽</t>
  </si>
  <si>
    <t>郑梅束</t>
  </si>
  <si>
    <t>王文淼</t>
  </si>
  <si>
    <t>邓莎</t>
  </si>
  <si>
    <t>叶理泽</t>
  </si>
  <si>
    <t>王壮</t>
  </si>
  <si>
    <t>商琳韵</t>
  </si>
  <si>
    <t>徐景</t>
  </si>
  <si>
    <t>吴佩华</t>
  </si>
  <si>
    <t>郭佳音</t>
  </si>
  <si>
    <t>陈翠尾</t>
  </si>
  <si>
    <t>刘晓婷</t>
  </si>
  <si>
    <t>张羽</t>
  </si>
  <si>
    <t>张冰</t>
  </si>
  <si>
    <t>郭路艳</t>
  </si>
  <si>
    <t>陈海秀</t>
  </si>
  <si>
    <t>王光妹</t>
  </si>
  <si>
    <t>许雅</t>
  </si>
  <si>
    <t>丁友清</t>
  </si>
  <si>
    <t>赵佳佳</t>
  </si>
  <si>
    <t>高广翠</t>
  </si>
  <si>
    <t>符靖羚</t>
  </si>
  <si>
    <t>刘婧</t>
  </si>
  <si>
    <t>陈润之</t>
  </si>
  <si>
    <t>金孟宇</t>
  </si>
  <si>
    <t>贺艳玲</t>
  </si>
  <si>
    <t>李甜甜</t>
  </si>
  <si>
    <t>方佳怡</t>
  </si>
  <si>
    <t>熊文杰</t>
  </si>
  <si>
    <t xml:space="preserve">陈木娇 </t>
  </si>
  <si>
    <t>邢夏煜</t>
  </si>
  <si>
    <t>符蕊</t>
  </si>
  <si>
    <t>史珂</t>
  </si>
  <si>
    <t>陈彩娥</t>
  </si>
  <si>
    <t>黄茜</t>
  </si>
  <si>
    <t>吴青娜</t>
  </si>
  <si>
    <t>郑亚男</t>
  </si>
  <si>
    <t>吴有莲</t>
  </si>
  <si>
    <t>蔡欣优</t>
  </si>
  <si>
    <t>苏妙铃</t>
  </si>
  <si>
    <t>李珍</t>
  </si>
  <si>
    <t>吴绍娟</t>
  </si>
  <si>
    <t>王少环</t>
  </si>
  <si>
    <t>黄雅萍</t>
  </si>
  <si>
    <t>邱雪玲</t>
  </si>
  <si>
    <t>官霞</t>
  </si>
  <si>
    <t>朱娇阳</t>
  </si>
  <si>
    <t>陈锐雪</t>
  </si>
  <si>
    <t>黄嘉欣</t>
  </si>
  <si>
    <t>宋欣梦</t>
  </si>
  <si>
    <t>李娇娇</t>
  </si>
  <si>
    <t>郑水仙</t>
  </si>
  <si>
    <t>李若盈</t>
  </si>
  <si>
    <t>曾颖颖</t>
  </si>
  <si>
    <t>谢小辉</t>
  </si>
  <si>
    <t>曾彦</t>
  </si>
  <si>
    <t>刘怡林</t>
  </si>
  <si>
    <t>王怡</t>
  </si>
  <si>
    <t>羊蔡红</t>
  </si>
  <si>
    <t>唐薇薇</t>
  </si>
  <si>
    <t>郭飞跃</t>
  </si>
  <si>
    <t>张晓椰</t>
  </si>
  <si>
    <t>彭湘妮</t>
  </si>
  <si>
    <t>蒙洁</t>
  </si>
  <si>
    <t>王鑫</t>
  </si>
  <si>
    <t>周能</t>
  </si>
  <si>
    <t>童东</t>
  </si>
  <si>
    <t>任俐霜</t>
  </si>
  <si>
    <t>曾健</t>
  </si>
  <si>
    <t>何欢</t>
  </si>
  <si>
    <t>符怡璐</t>
  </si>
  <si>
    <t>周月霞</t>
  </si>
  <si>
    <t>彭达龙</t>
  </si>
  <si>
    <t>李林</t>
  </si>
  <si>
    <t>梁渝婧</t>
  </si>
  <si>
    <t>云杏芳</t>
  </si>
  <si>
    <t>邬沛含</t>
  </si>
  <si>
    <t>王美珍</t>
  </si>
  <si>
    <t>叶金晓</t>
  </si>
  <si>
    <t>陈飞</t>
  </si>
  <si>
    <t>刘怒成</t>
  </si>
  <si>
    <t>黄莹</t>
  </si>
  <si>
    <t>韦诗怡</t>
  </si>
  <si>
    <t>丁在勇</t>
  </si>
  <si>
    <t>刘芷卿</t>
  </si>
  <si>
    <t>刘永昌</t>
  </si>
  <si>
    <t>胡艺峥</t>
  </si>
  <si>
    <t>李有茂</t>
  </si>
  <si>
    <t>冯晶晶</t>
  </si>
  <si>
    <t>贾璐聪</t>
  </si>
  <si>
    <t>梁佳丽</t>
  </si>
  <si>
    <t>林苏夏</t>
  </si>
  <si>
    <t>周岁广</t>
  </si>
  <si>
    <t>张晓如</t>
  </si>
  <si>
    <t>蔡茜茜</t>
  </si>
  <si>
    <t>马和霞</t>
  </si>
  <si>
    <t>谭钰铮</t>
  </si>
  <si>
    <t>林晓燕</t>
  </si>
  <si>
    <t>何爱坤</t>
  </si>
  <si>
    <t>刘钟秀</t>
  </si>
  <si>
    <t>吴东丽</t>
  </si>
  <si>
    <t>郑一平</t>
  </si>
  <si>
    <t>陈雪莹</t>
  </si>
  <si>
    <t>刘艳芳</t>
  </si>
  <si>
    <t>宋丽丽</t>
  </si>
  <si>
    <t>苗月莹</t>
  </si>
  <si>
    <t>侯雪江</t>
  </si>
  <si>
    <t>李其洪</t>
  </si>
  <si>
    <t>牛娅琪</t>
  </si>
  <si>
    <t>王所云</t>
  </si>
  <si>
    <t>冯春晓</t>
  </si>
  <si>
    <t>刘百凤</t>
  </si>
  <si>
    <t>许婷瑾</t>
  </si>
  <si>
    <t>关红叶</t>
  </si>
  <si>
    <t>姜瑞熙</t>
  </si>
  <si>
    <t>符良霞</t>
  </si>
  <si>
    <t>孙宇琪</t>
  </si>
  <si>
    <t>王凯乐</t>
  </si>
  <si>
    <t>梁渊钧</t>
  </si>
  <si>
    <t>李翼桃</t>
  </si>
  <si>
    <t>陈文婷</t>
  </si>
  <si>
    <t>李炎霞</t>
  </si>
  <si>
    <t>杨悦</t>
  </si>
  <si>
    <t>全彩丽</t>
  </si>
  <si>
    <t>刘思思</t>
  </si>
  <si>
    <t>杨艳艳</t>
  </si>
  <si>
    <t>杨家惠</t>
  </si>
  <si>
    <t>张诗怡</t>
  </si>
  <si>
    <t>刘凤涛</t>
  </si>
  <si>
    <t>文泽佳</t>
  </si>
  <si>
    <t>周琳程</t>
  </si>
  <si>
    <t>黄燕妮</t>
  </si>
  <si>
    <t>倪蕾</t>
  </si>
  <si>
    <t>马小鹏</t>
  </si>
  <si>
    <t>漆小婉</t>
  </si>
  <si>
    <t>蒋文琦</t>
  </si>
  <si>
    <t>陈梁玉</t>
  </si>
  <si>
    <t>廖小花</t>
  </si>
  <si>
    <t>唐小浪</t>
  </si>
  <si>
    <t>王雷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</si>
</sst>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黑体"/>
      <charset val="134"/>
    </font>
    <font>
      <sz val="12"/>
      <name val="Microsoft YaHei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1"/>
  <sheetViews>
    <sheetView tabSelected="1" workbookViewId="0">
      <selection activeCell="I6" sqref="I6"/>
    </sheetView>
  </sheetViews>
  <sheetFormatPr defaultColWidth="9.77272727272727" defaultRowHeight="25.05" customHeight="1" outlineLevelCol="6"/>
  <cols>
    <col min="1" max="1" width="7.87272727272727" style="2" customWidth="1"/>
    <col min="2" max="2" width="36.7545454545455" style="2" customWidth="1"/>
    <col min="3" max="3" width="23.6272727272727" style="2" customWidth="1"/>
    <col min="4" max="4" width="20.2545454545455" style="3" customWidth="1"/>
    <col min="5" max="5" width="14.8181818181818" style="2" customWidth="1"/>
    <col min="6" max="6" width="15.1272727272727" style="2" customWidth="1"/>
    <col min="7" max="16384" width="9.77272727272727" style="2"/>
  </cols>
  <sheetData>
    <row r="1" customHeight="1" spans="1:7">
      <c r="A1" s="4" t="s">
        <v>0</v>
      </c>
      <c r="B1" s="5"/>
      <c r="C1" s="6"/>
      <c r="D1" s="7"/>
      <c r="E1" s="6"/>
      <c r="F1" s="6"/>
      <c r="G1" s="6"/>
    </row>
    <row r="2" ht="36.6" customHeight="1" spans="1:7">
      <c r="A2" s="8" t="s">
        <v>1</v>
      </c>
      <c r="B2" s="8"/>
      <c r="C2" s="8"/>
      <c r="D2" s="8"/>
      <c r="E2" s="8"/>
      <c r="F2" s="8"/>
      <c r="G2" s="8"/>
    </row>
    <row r="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customHeight="1" spans="1:7">
      <c r="A4" s="11">
        <v>1</v>
      </c>
      <c r="B4" s="11" t="s">
        <v>9</v>
      </c>
      <c r="C4" s="11" t="s">
        <v>10</v>
      </c>
      <c r="D4" s="17" t="s">
        <v>11</v>
      </c>
      <c r="E4" s="13" t="s">
        <v>12</v>
      </c>
      <c r="F4" s="11" t="s">
        <v>13</v>
      </c>
      <c r="G4" s="11"/>
    </row>
    <row r="5" customHeight="1" spans="1:7">
      <c r="A5" s="11">
        <v>2</v>
      </c>
      <c r="B5" s="11" t="s">
        <v>9</v>
      </c>
      <c r="C5" s="11" t="s">
        <v>14</v>
      </c>
      <c r="D5" s="14" t="s">
        <v>15</v>
      </c>
      <c r="E5" s="13" t="s">
        <v>16</v>
      </c>
      <c r="F5" s="11" t="s">
        <v>13</v>
      </c>
      <c r="G5" s="11"/>
    </row>
    <row r="6" customHeight="1" spans="1:7">
      <c r="A6" s="11">
        <v>3</v>
      </c>
      <c r="B6" s="11" t="s">
        <v>17</v>
      </c>
      <c r="C6" s="11" t="s">
        <v>18</v>
      </c>
      <c r="D6" s="14" t="s">
        <v>19</v>
      </c>
      <c r="E6" s="13" t="s">
        <v>20</v>
      </c>
      <c r="F6" s="11" t="s">
        <v>13</v>
      </c>
      <c r="G6" s="11"/>
    </row>
    <row r="7" customHeight="1" spans="1:7">
      <c r="A7" s="11">
        <v>4</v>
      </c>
      <c r="B7" s="11" t="s">
        <v>17</v>
      </c>
      <c r="C7" s="11" t="s">
        <v>18</v>
      </c>
      <c r="D7" s="14" t="s">
        <v>21</v>
      </c>
      <c r="E7" s="13" t="s">
        <v>22</v>
      </c>
      <c r="F7" s="11" t="s">
        <v>13</v>
      </c>
      <c r="G7" s="11"/>
    </row>
    <row r="8" customHeight="1" spans="1:7">
      <c r="A8" s="11">
        <v>5</v>
      </c>
      <c r="B8" s="11" t="s">
        <v>17</v>
      </c>
      <c r="C8" s="11" t="s">
        <v>23</v>
      </c>
      <c r="D8" s="14" t="s">
        <v>24</v>
      </c>
      <c r="E8" s="13" t="s">
        <v>25</v>
      </c>
      <c r="F8" s="11" t="s">
        <v>26</v>
      </c>
      <c r="G8" s="11"/>
    </row>
    <row r="9" customHeight="1" spans="1:7">
      <c r="A9" s="11">
        <v>6</v>
      </c>
      <c r="B9" s="11" t="s">
        <v>17</v>
      </c>
      <c r="C9" s="11" t="s">
        <v>23</v>
      </c>
      <c r="D9" s="14" t="s">
        <v>27</v>
      </c>
      <c r="E9" s="13" t="s">
        <v>28</v>
      </c>
      <c r="F9" s="11" t="s">
        <v>13</v>
      </c>
      <c r="G9" s="11"/>
    </row>
    <row r="10" customHeight="1" spans="1:7">
      <c r="A10" s="11">
        <v>7</v>
      </c>
      <c r="B10" s="11" t="s">
        <v>17</v>
      </c>
      <c r="C10" s="11" t="s">
        <v>29</v>
      </c>
      <c r="D10" s="14" t="s">
        <v>30</v>
      </c>
      <c r="E10" s="13" t="s">
        <v>31</v>
      </c>
      <c r="F10" s="11" t="s">
        <v>13</v>
      </c>
      <c r="G10" s="11"/>
    </row>
    <row r="11" customHeight="1" spans="1:7">
      <c r="A11" s="11">
        <v>8</v>
      </c>
      <c r="B11" s="11" t="s">
        <v>17</v>
      </c>
      <c r="C11" s="11" t="s">
        <v>29</v>
      </c>
      <c r="D11" s="14" t="s">
        <v>32</v>
      </c>
      <c r="E11" s="13" t="s">
        <v>33</v>
      </c>
      <c r="F11" s="11" t="s">
        <v>13</v>
      </c>
      <c r="G11" s="11"/>
    </row>
    <row r="12" customHeight="1" spans="1:7">
      <c r="A12" s="11">
        <v>9</v>
      </c>
      <c r="B12" s="11" t="s">
        <v>17</v>
      </c>
      <c r="C12" s="11" t="s">
        <v>34</v>
      </c>
      <c r="D12" s="14" t="s">
        <v>35</v>
      </c>
      <c r="E12" s="13" t="s">
        <v>36</v>
      </c>
      <c r="F12" s="11" t="s">
        <v>13</v>
      </c>
      <c r="G12" s="11"/>
    </row>
    <row r="13" customHeight="1" spans="1:7">
      <c r="A13" s="11">
        <v>10</v>
      </c>
      <c r="B13" s="11" t="s">
        <v>17</v>
      </c>
      <c r="C13" s="11" t="s">
        <v>37</v>
      </c>
      <c r="D13" s="14" t="s">
        <v>38</v>
      </c>
      <c r="E13" s="13" t="s">
        <v>39</v>
      </c>
      <c r="F13" s="11" t="s">
        <v>13</v>
      </c>
      <c r="G13" s="11"/>
    </row>
    <row r="14" customHeight="1" spans="1:7">
      <c r="A14" s="11">
        <v>11</v>
      </c>
      <c r="B14" s="11" t="s">
        <v>17</v>
      </c>
      <c r="C14" s="11" t="s">
        <v>37</v>
      </c>
      <c r="D14" s="14" t="s">
        <v>40</v>
      </c>
      <c r="E14" s="13" t="s">
        <v>41</v>
      </c>
      <c r="F14" s="11" t="s">
        <v>13</v>
      </c>
      <c r="G14" s="11"/>
    </row>
    <row r="15" customHeight="1" spans="1:7">
      <c r="A15" s="11">
        <v>12</v>
      </c>
      <c r="B15" s="11" t="s">
        <v>17</v>
      </c>
      <c r="C15" s="11" t="s">
        <v>37</v>
      </c>
      <c r="D15" s="14" t="s">
        <v>42</v>
      </c>
      <c r="E15" s="13" t="s">
        <v>43</v>
      </c>
      <c r="F15" s="11" t="s">
        <v>13</v>
      </c>
      <c r="G15" s="11"/>
    </row>
    <row r="16" customHeight="1" spans="1:7">
      <c r="A16" s="11">
        <v>13</v>
      </c>
      <c r="B16" s="11" t="s">
        <v>17</v>
      </c>
      <c r="C16" s="11" t="s">
        <v>44</v>
      </c>
      <c r="D16" s="14" t="s">
        <v>45</v>
      </c>
      <c r="E16" s="13" t="s">
        <v>46</v>
      </c>
      <c r="F16" s="11" t="s">
        <v>13</v>
      </c>
      <c r="G16" s="11"/>
    </row>
    <row r="17" customHeight="1" spans="1:7">
      <c r="A17" s="11">
        <v>14</v>
      </c>
      <c r="B17" s="11" t="s">
        <v>17</v>
      </c>
      <c r="C17" s="11" t="s">
        <v>44</v>
      </c>
      <c r="D17" s="14" t="s">
        <v>47</v>
      </c>
      <c r="E17" s="13" t="s">
        <v>48</v>
      </c>
      <c r="F17" s="11" t="s">
        <v>13</v>
      </c>
      <c r="G17" s="11"/>
    </row>
    <row r="18" customHeight="1" spans="1:7">
      <c r="A18" s="11">
        <v>15</v>
      </c>
      <c r="B18" s="11" t="s">
        <v>17</v>
      </c>
      <c r="C18" s="11" t="s">
        <v>44</v>
      </c>
      <c r="D18" s="14" t="s">
        <v>49</v>
      </c>
      <c r="E18" s="13" t="s">
        <v>50</v>
      </c>
      <c r="F18" s="11" t="s">
        <v>13</v>
      </c>
      <c r="G18" s="11"/>
    </row>
    <row r="19" customHeight="1" spans="1:7">
      <c r="A19" s="11">
        <v>16</v>
      </c>
      <c r="B19" s="11" t="s">
        <v>17</v>
      </c>
      <c r="C19" s="11" t="s">
        <v>51</v>
      </c>
      <c r="D19" s="14" t="s">
        <v>52</v>
      </c>
      <c r="E19" s="13" t="s">
        <v>53</v>
      </c>
      <c r="F19" s="11" t="s">
        <v>13</v>
      </c>
      <c r="G19" s="11"/>
    </row>
    <row r="20" customHeight="1" spans="1:7">
      <c r="A20" s="11">
        <v>17</v>
      </c>
      <c r="B20" s="11" t="s">
        <v>17</v>
      </c>
      <c r="C20" s="11" t="s">
        <v>51</v>
      </c>
      <c r="D20" s="14" t="s">
        <v>54</v>
      </c>
      <c r="E20" s="13" t="s">
        <v>55</v>
      </c>
      <c r="F20" s="11" t="s">
        <v>13</v>
      </c>
      <c r="G20" s="11"/>
    </row>
    <row r="21" customHeight="1" spans="1:7">
      <c r="A21" s="11">
        <v>18</v>
      </c>
      <c r="B21" s="11" t="s">
        <v>17</v>
      </c>
      <c r="C21" s="11" t="s">
        <v>51</v>
      </c>
      <c r="D21" s="14" t="s">
        <v>56</v>
      </c>
      <c r="E21" s="13" t="s">
        <v>57</v>
      </c>
      <c r="F21" s="11" t="s">
        <v>13</v>
      </c>
      <c r="G21" s="11"/>
    </row>
    <row r="22" customHeight="1" spans="1:7">
      <c r="A22" s="11">
        <v>19</v>
      </c>
      <c r="B22" s="11" t="s">
        <v>17</v>
      </c>
      <c r="C22" s="11" t="s">
        <v>51</v>
      </c>
      <c r="D22" s="14" t="s">
        <v>58</v>
      </c>
      <c r="E22" s="13" t="s">
        <v>59</v>
      </c>
      <c r="F22" s="11" t="s">
        <v>13</v>
      </c>
      <c r="G22" s="11"/>
    </row>
    <row r="23" customHeight="1" spans="1:7">
      <c r="A23" s="11">
        <v>20</v>
      </c>
      <c r="B23" s="11" t="s">
        <v>17</v>
      </c>
      <c r="C23" s="11" t="s">
        <v>51</v>
      </c>
      <c r="D23" s="14" t="s">
        <v>60</v>
      </c>
      <c r="E23" s="13" t="s">
        <v>61</v>
      </c>
      <c r="F23" s="11" t="s">
        <v>13</v>
      </c>
      <c r="G23" s="11"/>
    </row>
    <row r="24" customHeight="1" spans="1:7">
      <c r="A24" s="11">
        <v>21</v>
      </c>
      <c r="B24" s="11" t="s">
        <v>17</v>
      </c>
      <c r="C24" s="11" t="s">
        <v>51</v>
      </c>
      <c r="D24" s="14" t="s">
        <v>62</v>
      </c>
      <c r="E24" s="13" t="s">
        <v>63</v>
      </c>
      <c r="F24" s="11" t="s">
        <v>26</v>
      </c>
      <c r="G24" s="11"/>
    </row>
    <row r="25" customHeight="1" spans="1:7">
      <c r="A25" s="11">
        <v>22</v>
      </c>
      <c r="B25" s="11" t="s">
        <v>17</v>
      </c>
      <c r="C25" s="11" t="s">
        <v>51</v>
      </c>
      <c r="D25" s="14" t="s">
        <v>64</v>
      </c>
      <c r="E25" s="13" t="s">
        <v>65</v>
      </c>
      <c r="F25" s="11" t="s">
        <v>13</v>
      </c>
      <c r="G25" s="11"/>
    </row>
    <row r="26" customHeight="1" spans="1:7">
      <c r="A26" s="11">
        <v>23</v>
      </c>
      <c r="B26" s="11" t="s">
        <v>17</v>
      </c>
      <c r="C26" s="11" t="s">
        <v>66</v>
      </c>
      <c r="D26" s="14" t="s">
        <v>67</v>
      </c>
      <c r="E26" s="13" t="s">
        <v>68</v>
      </c>
      <c r="F26" s="11" t="s">
        <v>13</v>
      </c>
      <c r="G26" s="11"/>
    </row>
    <row r="27" customHeight="1" spans="1:7">
      <c r="A27" s="11">
        <v>24</v>
      </c>
      <c r="B27" s="11" t="s">
        <v>17</v>
      </c>
      <c r="C27" s="11" t="s">
        <v>69</v>
      </c>
      <c r="D27" s="14" t="s">
        <v>70</v>
      </c>
      <c r="E27" s="13" t="s">
        <v>71</v>
      </c>
      <c r="F27" s="11" t="s">
        <v>13</v>
      </c>
      <c r="G27" s="11"/>
    </row>
    <row r="28" customHeight="1" spans="1:7">
      <c r="A28" s="11">
        <v>25</v>
      </c>
      <c r="B28" s="11" t="s">
        <v>17</v>
      </c>
      <c r="C28" s="11" t="s">
        <v>69</v>
      </c>
      <c r="D28" s="14" t="s">
        <v>72</v>
      </c>
      <c r="E28" s="13" t="s">
        <v>73</v>
      </c>
      <c r="F28" s="11" t="s">
        <v>13</v>
      </c>
      <c r="G28" s="11"/>
    </row>
    <row r="29" customHeight="1" spans="1:7">
      <c r="A29" s="11">
        <v>26</v>
      </c>
      <c r="B29" s="11" t="s">
        <v>17</v>
      </c>
      <c r="C29" s="11" t="s">
        <v>74</v>
      </c>
      <c r="D29" s="14" t="s">
        <v>75</v>
      </c>
      <c r="E29" s="13" t="s">
        <v>76</v>
      </c>
      <c r="F29" s="11" t="s">
        <v>13</v>
      </c>
      <c r="G29" s="11"/>
    </row>
    <row r="30" customHeight="1" spans="1:7">
      <c r="A30" s="11">
        <v>27</v>
      </c>
      <c r="B30" s="11" t="s">
        <v>17</v>
      </c>
      <c r="C30" s="11" t="s">
        <v>77</v>
      </c>
      <c r="D30" s="14" t="s">
        <v>78</v>
      </c>
      <c r="E30" s="13" t="s">
        <v>79</v>
      </c>
      <c r="F30" s="11" t="s">
        <v>13</v>
      </c>
      <c r="G30" s="11"/>
    </row>
    <row r="31" customHeight="1" spans="1:7">
      <c r="A31" s="11">
        <v>28</v>
      </c>
      <c r="B31" s="11" t="s">
        <v>17</v>
      </c>
      <c r="C31" s="11" t="s">
        <v>77</v>
      </c>
      <c r="D31" s="14" t="s">
        <v>80</v>
      </c>
      <c r="E31" s="13" t="s">
        <v>81</v>
      </c>
      <c r="F31" s="11" t="s">
        <v>13</v>
      </c>
      <c r="G31" s="11"/>
    </row>
    <row r="32" customHeight="1" spans="1:7">
      <c r="A32" s="11">
        <v>29</v>
      </c>
      <c r="B32" s="11" t="s">
        <v>17</v>
      </c>
      <c r="C32" s="11" t="s">
        <v>82</v>
      </c>
      <c r="D32" s="14" t="s">
        <v>83</v>
      </c>
      <c r="E32" s="13" t="s">
        <v>84</v>
      </c>
      <c r="F32" s="11" t="s">
        <v>13</v>
      </c>
      <c r="G32" s="11"/>
    </row>
    <row r="33" customHeight="1" spans="1:7">
      <c r="A33" s="11">
        <v>30</v>
      </c>
      <c r="B33" s="11" t="s">
        <v>17</v>
      </c>
      <c r="C33" s="11" t="s">
        <v>82</v>
      </c>
      <c r="D33" s="14" t="s">
        <v>85</v>
      </c>
      <c r="E33" s="13" t="s">
        <v>86</v>
      </c>
      <c r="F33" s="11" t="s">
        <v>13</v>
      </c>
      <c r="G33" s="11"/>
    </row>
    <row r="34" customHeight="1" spans="1:7">
      <c r="A34" s="11">
        <v>31</v>
      </c>
      <c r="B34" s="11" t="s">
        <v>17</v>
      </c>
      <c r="C34" s="11" t="s">
        <v>82</v>
      </c>
      <c r="D34" s="14" t="s">
        <v>87</v>
      </c>
      <c r="E34" s="13" t="s">
        <v>88</v>
      </c>
      <c r="F34" s="11" t="s">
        <v>13</v>
      </c>
      <c r="G34" s="11"/>
    </row>
    <row r="35" customHeight="1" spans="1:7">
      <c r="A35" s="11">
        <v>32</v>
      </c>
      <c r="B35" s="11" t="s">
        <v>17</v>
      </c>
      <c r="C35" s="11" t="s">
        <v>89</v>
      </c>
      <c r="D35" s="14" t="s">
        <v>90</v>
      </c>
      <c r="E35" s="13" t="s">
        <v>91</v>
      </c>
      <c r="F35" s="11" t="s">
        <v>13</v>
      </c>
      <c r="G35" s="11"/>
    </row>
    <row r="36" customHeight="1" spans="1:7">
      <c r="A36" s="11">
        <v>33</v>
      </c>
      <c r="B36" s="11" t="s">
        <v>17</v>
      </c>
      <c r="C36" s="11" t="s">
        <v>89</v>
      </c>
      <c r="D36" s="14" t="s">
        <v>92</v>
      </c>
      <c r="E36" s="13" t="s">
        <v>93</v>
      </c>
      <c r="F36" s="11" t="s">
        <v>13</v>
      </c>
      <c r="G36" s="11"/>
    </row>
    <row r="37" customHeight="1" spans="1:7">
      <c r="A37" s="11">
        <v>34</v>
      </c>
      <c r="B37" s="11" t="s">
        <v>17</v>
      </c>
      <c r="C37" s="11" t="s">
        <v>89</v>
      </c>
      <c r="D37" s="14" t="s">
        <v>94</v>
      </c>
      <c r="E37" s="13" t="s">
        <v>95</v>
      </c>
      <c r="F37" s="11" t="s">
        <v>13</v>
      </c>
      <c r="G37" s="11"/>
    </row>
    <row r="38" customHeight="1" spans="1:7">
      <c r="A38" s="11">
        <v>35</v>
      </c>
      <c r="B38" s="11" t="s">
        <v>17</v>
      </c>
      <c r="C38" s="11" t="s">
        <v>89</v>
      </c>
      <c r="D38" s="14" t="s">
        <v>96</v>
      </c>
      <c r="E38" s="13" t="s">
        <v>97</v>
      </c>
      <c r="F38" s="11" t="s">
        <v>13</v>
      </c>
      <c r="G38" s="11"/>
    </row>
    <row r="39" customHeight="1" spans="1:7">
      <c r="A39" s="11">
        <v>36</v>
      </c>
      <c r="B39" s="11" t="s">
        <v>17</v>
      </c>
      <c r="C39" s="11" t="s">
        <v>89</v>
      </c>
      <c r="D39" s="14" t="s">
        <v>98</v>
      </c>
      <c r="E39" s="13" t="s">
        <v>99</v>
      </c>
      <c r="F39" s="11" t="s">
        <v>13</v>
      </c>
      <c r="G39" s="11"/>
    </row>
    <row r="40" customHeight="1" spans="1:7">
      <c r="A40" s="11">
        <v>37</v>
      </c>
      <c r="B40" s="11" t="s">
        <v>17</v>
      </c>
      <c r="C40" s="11" t="s">
        <v>89</v>
      </c>
      <c r="D40" s="14" t="s">
        <v>100</v>
      </c>
      <c r="E40" s="13" t="s">
        <v>101</v>
      </c>
      <c r="F40" s="11" t="s">
        <v>13</v>
      </c>
      <c r="G40" s="11"/>
    </row>
    <row r="41" customHeight="1" spans="1:7">
      <c r="A41" s="11">
        <v>38</v>
      </c>
      <c r="B41" s="11" t="s">
        <v>17</v>
      </c>
      <c r="C41" s="11" t="s">
        <v>89</v>
      </c>
      <c r="D41" s="14" t="s">
        <v>102</v>
      </c>
      <c r="E41" s="13" t="s">
        <v>103</v>
      </c>
      <c r="F41" s="11" t="s">
        <v>13</v>
      </c>
      <c r="G41" s="11"/>
    </row>
    <row r="42" customHeight="1" spans="1:7">
      <c r="A42" s="11">
        <v>39</v>
      </c>
      <c r="B42" s="11" t="s">
        <v>17</v>
      </c>
      <c r="C42" s="11" t="s">
        <v>89</v>
      </c>
      <c r="D42" s="14" t="s">
        <v>104</v>
      </c>
      <c r="E42" s="13" t="s">
        <v>105</v>
      </c>
      <c r="F42" s="11" t="s">
        <v>13</v>
      </c>
      <c r="G42" s="11"/>
    </row>
    <row r="43" customHeight="1" spans="1:7">
      <c r="A43" s="11">
        <v>40</v>
      </c>
      <c r="B43" s="11" t="s">
        <v>17</v>
      </c>
      <c r="C43" s="11" t="s">
        <v>89</v>
      </c>
      <c r="D43" s="14" t="s">
        <v>106</v>
      </c>
      <c r="E43" s="13" t="s">
        <v>107</v>
      </c>
      <c r="F43" s="11" t="s">
        <v>13</v>
      </c>
      <c r="G43" s="11"/>
    </row>
    <row r="44" customHeight="1" spans="1:7">
      <c r="A44" s="11">
        <v>41</v>
      </c>
      <c r="B44" s="11" t="s">
        <v>17</v>
      </c>
      <c r="C44" s="11" t="s">
        <v>108</v>
      </c>
      <c r="D44" s="14" t="s">
        <v>109</v>
      </c>
      <c r="E44" s="13" t="s">
        <v>110</v>
      </c>
      <c r="F44" s="11" t="s">
        <v>13</v>
      </c>
      <c r="G44" s="11"/>
    </row>
    <row r="45" customHeight="1" spans="1:7">
      <c r="A45" s="11">
        <v>42</v>
      </c>
      <c r="B45" s="11" t="s">
        <v>17</v>
      </c>
      <c r="C45" s="11" t="s">
        <v>108</v>
      </c>
      <c r="D45" s="14" t="s">
        <v>111</v>
      </c>
      <c r="E45" s="13" t="s">
        <v>112</v>
      </c>
      <c r="F45" s="11" t="s">
        <v>13</v>
      </c>
      <c r="G45" s="11"/>
    </row>
    <row r="46" customHeight="1" spans="1:7">
      <c r="A46" s="11">
        <v>43</v>
      </c>
      <c r="B46" s="11" t="s">
        <v>17</v>
      </c>
      <c r="C46" s="11" t="s">
        <v>108</v>
      </c>
      <c r="D46" s="14" t="s">
        <v>113</v>
      </c>
      <c r="E46" s="13" t="s">
        <v>114</v>
      </c>
      <c r="F46" s="11" t="s">
        <v>13</v>
      </c>
      <c r="G46" s="11"/>
    </row>
    <row r="47" customHeight="1" spans="1:7">
      <c r="A47" s="11">
        <v>44</v>
      </c>
      <c r="B47" s="11" t="s">
        <v>17</v>
      </c>
      <c r="C47" s="11" t="s">
        <v>115</v>
      </c>
      <c r="D47" s="14" t="s">
        <v>116</v>
      </c>
      <c r="E47" s="13" t="s">
        <v>117</v>
      </c>
      <c r="F47" s="11" t="s">
        <v>13</v>
      </c>
      <c r="G47" s="11"/>
    </row>
    <row r="48" customHeight="1" spans="1:7">
      <c r="A48" s="11">
        <v>45</v>
      </c>
      <c r="B48" s="11" t="s">
        <v>17</v>
      </c>
      <c r="C48" s="11" t="s">
        <v>115</v>
      </c>
      <c r="D48" s="14" t="s">
        <v>118</v>
      </c>
      <c r="E48" s="13" t="s">
        <v>119</v>
      </c>
      <c r="F48" s="11" t="s">
        <v>13</v>
      </c>
      <c r="G48" s="11"/>
    </row>
    <row r="49" customHeight="1" spans="1:7">
      <c r="A49" s="11">
        <v>46</v>
      </c>
      <c r="B49" s="11" t="s">
        <v>17</v>
      </c>
      <c r="C49" s="11" t="s">
        <v>115</v>
      </c>
      <c r="D49" s="14" t="s">
        <v>120</v>
      </c>
      <c r="E49" s="13" t="s">
        <v>121</v>
      </c>
      <c r="F49" s="11" t="s">
        <v>13</v>
      </c>
      <c r="G49" s="11"/>
    </row>
    <row r="50" customHeight="1" spans="1:7">
      <c r="A50" s="11">
        <v>47</v>
      </c>
      <c r="B50" s="11" t="s">
        <v>17</v>
      </c>
      <c r="C50" s="11" t="s">
        <v>115</v>
      </c>
      <c r="D50" s="14" t="s">
        <v>122</v>
      </c>
      <c r="E50" s="13" t="s">
        <v>123</v>
      </c>
      <c r="F50" s="11" t="s">
        <v>13</v>
      </c>
      <c r="G50" s="11"/>
    </row>
    <row r="51" customHeight="1" spans="1:7">
      <c r="A51" s="11">
        <v>48</v>
      </c>
      <c r="B51" s="11" t="s">
        <v>17</v>
      </c>
      <c r="C51" s="11" t="s">
        <v>115</v>
      </c>
      <c r="D51" s="14" t="s">
        <v>124</v>
      </c>
      <c r="E51" s="13" t="s">
        <v>125</v>
      </c>
      <c r="F51" s="11" t="s">
        <v>13</v>
      </c>
      <c r="G51" s="11"/>
    </row>
    <row r="52" customHeight="1" spans="1:7">
      <c r="A52" s="11">
        <v>49</v>
      </c>
      <c r="B52" s="11" t="s">
        <v>17</v>
      </c>
      <c r="C52" s="11" t="s">
        <v>115</v>
      </c>
      <c r="D52" s="14" t="s">
        <v>126</v>
      </c>
      <c r="E52" s="13" t="s">
        <v>127</v>
      </c>
      <c r="F52" s="11" t="s">
        <v>13</v>
      </c>
      <c r="G52" s="11"/>
    </row>
    <row r="53" customHeight="1" spans="1:7">
      <c r="A53" s="11">
        <v>50</v>
      </c>
      <c r="B53" s="11" t="s">
        <v>17</v>
      </c>
      <c r="C53" s="11" t="s">
        <v>115</v>
      </c>
      <c r="D53" s="14" t="s">
        <v>128</v>
      </c>
      <c r="E53" s="13" t="s">
        <v>129</v>
      </c>
      <c r="F53" s="11" t="s">
        <v>13</v>
      </c>
      <c r="G53" s="11"/>
    </row>
    <row r="54" customHeight="1" spans="1:7">
      <c r="A54" s="11">
        <v>51</v>
      </c>
      <c r="B54" s="11" t="s">
        <v>17</v>
      </c>
      <c r="C54" s="11" t="s">
        <v>115</v>
      </c>
      <c r="D54" s="14" t="s">
        <v>130</v>
      </c>
      <c r="E54" s="13" t="s">
        <v>131</v>
      </c>
      <c r="F54" s="11" t="s">
        <v>13</v>
      </c>
      <c r="G54" s="11"/>
    </row>
    <row r="55" customHeight="1" spans="1:7">
      <c r="A55" s="11">
        <v>52</v>
      </c>
      <c r="B55" s="11" t="s">
        <v>17</v>
      </c>
      <c r="C55" s="11" t="s">
        <v>115</v>
      </c>
      <c r="D55" s="14" t="s">
        <v>132</v>
      </c>
      <c r="E55" s="13" t="s">
        <v>133</v>
      </c>
      <c r="F55" s="11" t="s">
        <v>13</v>
      </c>
      <c r="G55" s="11"/>
    </row>
    <row r="56" customHeight="1" spans="1:7">
      <c r="A56" s="11">
        <v>53</v>
      </c>
      <c r="B56" s="11" t="s">
        <v>134</v>
      </c>
      <c r="C56" s="11" t="s">
        <v>135</v>
      </c>
      <c r="D56" s="14" t="s">
        <v>136</v>
      </c>
      <c r="E56" s="13" t="s">
        <v>137</v>
      </c>
      <c r="F56" s="11" t="s">
        <v>13</v>
      </c>
      <c r="G56" s="11"/>
    </row>
    <row r="57" customHeight="1" spans="1:7">
      <c r="A57" s="11">
        <v>54</v>
      </c>
      <c r="B57" s="11" t="s">
        <v>134</v>
      </c>
      <c r="C57" s="11" t="s">
        <v>29</v>
      </c>
      <c r="D57" s="14" t="s">
        <v>138</v>
      </c>
      <c r="E57" s="13" t="s">
        <v>139</v>
      </c>
      <c r="F57" s="11" t="s">
        <v>13</v>
      </c>
      <c r="G57" s="11"/>
    </row>
    <row r="58" customHeight="1" spans="1:7">
      <c r="A58" s="11">
        <v>55</v>
      </c>
      <c r="B58" s="11" t="s">
        <v>134</v>
      </c>
      <c r="C58" s="11" t="s">
        <v>140</v>
      </c>
      <c r="D58" s="14" t="s">
        <v>141</v>
      </c>
      <c r="E58" s="13" t="s">
        <v>142</v>
      </c>
      <c r="F58" s="11" t="s">
        <v>13</v>
      </c>
      <c r="G58" s="11"/>
    </row>
    <row r="59" customHeight="1" spans="1:7">
      <c r="A59" s="11">
        <v>56</v>
      </c>
      <c r="B59" s="11" t="s">
        <v>134</v>
      </c>
      <c r="C59" s="11" t="s">
        <v>44</v>
      </c>
      <c r="D59" s="14" t="s">
        <v>143</v>
      </c>
      <c r="E59" s="13" t="s">
        <v>144</v>
      </c>
      <c r="F59" s="11" t="s">
        <v>13</v>
      </c>
      <c r="G59" s="11"/>
    </row>
    <row r="60" customHeight="1" spans="1:7">
      <c r="A60" s="11">
        <v>57</v>
      </c>
      <c r="B60" s="11" t="s">
        <v>134</v>
      </c>
      <c r="C60" s="11" t="s">
        <v>44</v>
      </c>
      <c r="D60" s="14" t="s">
        <v>145</v>
      </c>
      <c r="E60" s="13" t="s">
        <v>146</v>
      </c>
      <c r="F60" s="11" t="s">
        <v>13</v>
      </c>
      <c r="G60" s="11"/>
    </row>
    <row r="61" customHeight="1" spans="1:7">
      <c r="A61" s="11">
        <v>58</v>
      </c>
      <c r="B61" s="11" t="s">
        <v>134</v>
      </c>
      <c r="C61" s="11" t="s">
        <v>44</v>
      </c>
      <c r="D61" s="14" t="s">
        <v>147</v>
      </c>
      <c r="E61" s="13" t="s">
        <v>148</v>
      </c>
      <c r="F61" s="11" t="s">
        <v>13</v>
      </c>
      <c r="G61" s="11"/>
    </row>
    <row r="62" customHeight="1" spans="1:7">
      <c r="A62" s="11">
        <v>59</v>
      </c>
      <c r="B62" s="11" t="s">
        <v>134</v>
      </c>
      <c r="C62" s="11" t="s">
        <v>51</v>
      </c>
      <c r="D62" s="14" t="s">
        <v>149</v>
      </c>
      <c r="E62" s="13" t="s">
        <v>150</v>
      </c>
      <c r="F62" s="11" t="s">
        <v>13</v>
      </c>
      <c r="G62" s="11"/>
    </row>
    <row r="63" customHeight="1" spans="1:7">
      <c r="A63" s="11">
        <v>60</v>
      </c>
      <c r="B63" s="11" t="s">
        <v>134</v>
      </c>
      <c r="C63" s="11" t="s">
        <v>51</v>
      </c>
      <c r="D63" s="14" t="s">
        <v>151</v>
      </c>
      <c r="E63" s="13" t="s">
        <v>152</v>
      </c>
      <c r="F63" s="11" t="s">
        <v>13</v>
      </c>
      <c r="G63" s="11"/>
    </row>
    <row r="64" customHeight="1" spans="1:7">
      <c r="A64" s="11">
        <v>61</v>
      </c>
      <c r="B64" s="11" t="s">
        <v>134</v>
      </c>
      <c r="C64" s="11" t="s">
        <v>51</v>
      </c>
      <c r="D64" s="14" t="s">
        <v>153</v>
      </c>
      <c r="E64" s="13" t="s">
        <v>154</v>
      </c>
      <c r="F64" s="11" t="s">
        <v>13</v>
      </c>
      <c r="G64" s="11"/>
    </row>
    <row r="65" customHeight="1" spans="1:7">
      <c r="A65" s="11">
        <v>62</v>
      </c>
      <c r="B65" s="11" t="s">
        <v>134</v>
      </c>
      <c r="C65" s="11" t="s">
        <v>51</v>
      </c>
      <c r="D65" s="14" t="s">
        <v>155</v>
      </c>
      <c r="E65" s="13" t="s">
        <v>156</v>
      </c>
      <c r="F65" s="11" t="s">
        <v>13</v>
      </c>
      <c r="G65" s="11"/>
    </row>
    <row r="66" customHeight="1" spans="1:7">
      <c r="A66" s="11">
        <v>63</v>
      </c>
      <c r="B66" s="11" t="s">
        <v>134</v>
      </c>
      <c r="C66" s="11" t="s">
        <v>157</v>
      </c>
      <c r="D66" s="14" t="s">
        <v>158</v>
      </c>
      <c r="E66" s="13" t="s">
        <v>159</v>
      </c>
      <c r="F66" s="11" t="s">
        <v>13</v>
      </c>
      <c r="G66" s="11"/>
    </row>
    <row r="67" customHeight="1" spans="1:7">
      <c r="A67" s="11">
        <v>64</v>
      </c>
      <c r="B67" s="11" t="s">
        <v>134</v>
      </c>
      <c r="C67" s="11" t="s">
        <v>157</v>
      </c>
      <c r="D67" s="14" t="s">
        <v>160</v>
      </c>
      <c r="E67" s="13" t="s">
        <v>161</v>
      </c>
      <c r="F67" s="11" t="s">
        <v>13</v>
      </c>
      <c r="G67" s="11"/>
    </row>
    <row r="68" customHeight="1" spans="1:7">
      <c r="A68" s="11">
        <v>65</v>
      </c>
      <c r="B68" s="11" t="s">
        <v>134</v>
      </c>
      <c r="C68" s="11" t="s">
        <v>162</v>
      </c>
      <c r="D68" s="14" t="s">
        <v>163</v>
      </c>
      <c r="E68" s="13" t="s">
        <v>164</v>
      </c>
      <c r="F68" s="11" t="s">
        <v>13</v>
      </c>
      <c r="G68" s="11"/>
    </row>
    <row r="69" customHeight="1" spans="1:7">
      <c r="A69" s="11">
        <v>66</v>
      </c>
      <c r="B69" s="11" t="s">
        <v>134</v>
      </c>
      <c r="C69" s="11" t="s">
        <v>165</v>
      </c>
      <c r="D69" s="14" t="s">
        <v>166</v>
      </c>
      <c r="E69" s="13" t="s">
        <v>167</v>
      </c>
      <c r="F69" s="11" t="s">
        <v>13</v>
      </c>
      <c r="G69" s="11"/>
    </row>
    <row r="70" customHeight="1" spans="1:7">
      <c r="A70" s="11">
        <v>67</v>
      </c>
      <c r="B70" s="11" t="s">
        <v>134</v>
      </c>
      <c r="C70" s="11" t="s">
        <v>82</v>
      </c>
      <c r="D70" s="14" t="s">
        <v>168</v>
      </c>
      <c r="E70" s="13" t="s">
        <v>169</v>
      </c>
      <c r="F70" s="11" t="s">
        <v>13</v>
      </c>
      <c r="G70" s="11"/>
    </row>
    <row r="71" customHeight="1" spans="1:7">
      <c r="A71" s="11">
        <v>68</v>
      </c>
      <c r="B71" s="11" t="s">
        <v>134</v>
      </c>
      <c r="C71" s="11" t="s">
        <v>82</v>
      </c>
      <c r="D71" s="14" t="s">
        <v>170</v>
      </c>
      <c r="E71" s="13" t="s">
        <v>171</v>
      </c>
      <c r="F71" s="11" t="s">
        <v>13</v>
      </c>
      <c r="G71" s="11"/>
    </row>
    <row r="72" customHeight="1" spans="1:7">
      <c r="A72" s="11">
        <v>69</v>
      </c>
      <c r="B72" s="11" t="s">
        <v>134</v>
      </c>
      <c r="C72" s="11" t="s">
        <v>82</v>
      </c>
      <c r="D72" s="14" t="s">
        <v>172</v>
      </c>
      <c r="E72" s="13" t="s">
        <v>173</v>
      </c>
      <c r="F72" s="11" t="s">
        <v>13</v>
      </c>
      <c r="G72" s="11"/>
    </row>
    <row r="73" customHeight="1" spans="1:7">
      <c r="A73" s="11">
        <v>70</v>
      </c>
      <c r="B73" s="11" t="s">
        <v>134</v>
      </c>
      <c r="C73" s="11" t="s">
        <v>89</v>
      </c>
      <c r="D73" s="14" t="s">
        <v>174</v>
      </c>
      <c r="E73" s="13" t="s">
        <v>175</v>
      </c>
      <c r="F73" s="11" t="s">
        <v>13</v>
      </c>
      <c r="G73" s="11"/>
    </row>
    <row r="74" customHeight="1" spans="1:7">
      <c r="A74" s="11">
        <v>71</v>
      </c>
      <c r="B74" s="11" t="s">
        <v>134</v>
      </c>
      <c r="C74" s="11" t="s">
        <v>89</v>
      </c>
      <c r="D74" s="14" t="s">
        <v>176</v>
      </c>
      <c r="E74" s="13" t="s">
        <v>177</v>
      </c>
      <c r="F74" s="11" t="s">
        <v>13</v>
      </c>
      <c r="G74" s="11"/>
    </row>
    <row r="75" customHeight="1" spans="1:7">
      <c r="A75" s="11">
        <v>72</v>
      </c>
      <c r="B75" s="11" t="s">
        <v>134</v>
      </c>
      <c r="C75" s="11" t="s">
        <v>89</v>
      </c>
      <c r="D75" s="14" t="s">
        <v>178</v>
      </c>
      <c r="E75" s="13" t="s">
        <v>179</v>
      </c>
      <c r="F75" s="11" t="s">
        <v>13</v>
      </c>
      <c r="G75" s="11"/>
    </row>
    <row r="76" customHeight="1" spans="1:7">
      <c r="A76" s="11">
        <v>73</v>
      </c>
      <c r="B76" s="11" t="s">
        <v>134</v>
      </c>
      <c r="C76" s="11" t="s">
        <v>89</v>
      </c>
      <c r="D76" s="14" t="s">
        <v>180</v>
      </c>
      <c r="E76" s="13" t="s">
        <v>181</v>
      </c>
      <c r="F76" s="11" t="s">
        <v>13</v>
      </c>
      <c r="G76" s="11"/>
    </row>
    <row r="77" customHeight="1" spans="1:7">
      <c r="A77" s="11">
        <v>74</v>
      </c>
      <c r="B77" s="11" t="s">
        <v>134</v>
      </c>
      <c r="C77" s="11" t="s">
        <v>89</v>
      </c>
      <c r="D77" s="14" t="s">
        <v>182</v>
      </c>
      <c r="E77" s="13" t="s">
        <v>183</v>
      </c>
      <c r="F77" s="11" t="s">
        <v>13</v>
      </c>
      <c r="G77" s="11"/>
    </row>
    <row r="78" customHeight="1" spans="1:7">
      <c r="A78" s="11">
        <v>75</v>
      </c>
      <c r="B78" s="11" t="s">
        <v>134</v>
      </c>
      <c r="C78" s="11" t="s">
        <v>108</v>
      </c>
      <c r="D78" s="14" t="s">
        <v>184</v>
      </c>
      <c r="E78" s="13" t="s">
        <v>185</v>
      </c>
      <c r="F78" s="11" t="s">
        <v>13</v>
      </c>
      <c r="G78" s="11"/>
    </row>
    <row r="79" customHeight="1" spans="1:7">
      <c r="A79" s="11">
        <v>76</v>
      </c>
      <c r="B79" s="11" t="s">
        <v>134</v>
      </c>
      <c r="C79" s="11" t="s">
        <v>108</v>
      </c>
      <c r="D79" s="14" t="s">
        <v>186</v>
      </c>
      <c r="E79" s="13" t="s">
        <v>187</v>
      </c>
      <c r="F79" s="11" t="s">
        <v>13</v>
      </c>
      <c r="G79" s="11"/>
    </row>
    <row r="80" customHeight="1" spans="1:7">
      <c r="A80" s="11">
        <v>77</v>
      </c>
      <c r="B80" s="11" t="s">
        <v>134</v>
      </c>
      <c r="C80" s="11" t="s">
        <v>108</v>
      </c>
      <c r="D80" s="14" t="s">
        <v>188</v>
      </c>
      <c r="E80" s="13" t="s">
        <v>189</v>
      </c>
      <c r="F80" s="11" t="s">
        <v>13</v>
      </c>
      <c r="G80" s="11"/>
    </row>
    <row r="81" customHeight="1" spans="1:7">
      <c r="A81" s="11">
        <v>78</v>
      </c>
      <c r="B81" s="11" t="s">
        <v>134</v>
      </c>
      <c r="C81" s="11" t="s">
        <v>108</v>
      </c>
      <c r="D81" s="14" t="s">
        <v>190</v>
      </c>
      <c r="E81" s="13" t="s">
        <v>191</v>
      </c>
      <c r="F81" s="11" t="s">
        <v>13</v>
      </c>
      <c r="G81" s="11"/>
    </row>
    <row r="82" customHeight="1" spans="1:7">
      <c r="A82" s="11">
        <v>79</v>
      </c>
      <c r="B82" s="11" t="s">
        <v>134</v>
      </c>
      <c r="C82" s="11" t="s">
        <v>108</v>
      </c>
      <c r="D82" s="14" t="s">
        <v>192</v>
      </c>
      <c r="E82" s="13" t="s">
        <v>193</v>
      </c>
      <c r="F82" s="11" t="s">
        <v>13</v>
      </c>
      <c r="G82" s="11"/>
    </row>
    <row r="83" customHeight="1" spans="1:7">
      <c r="A83" s="11">
        <v>80</v>
      </c>
      <c r="B83" s="11" t="s">
        <v>134</v>
      </c>
      <c r="C83" s="11" t="s">
        <v>108</v>
      </c>
      <c r="D83" s="14" t="s">
        <v>194</v>
      </c>
      <c r="E83" s="13" t="s">
        <v>195</v>
      </c>
      <c r="F83" s="11" t="s">
        <v>13</v>
      </c>
      <c r="G83" s="11"/>
    </row>
    <row r="84" customHeight="1" spans="1:7">
      <c r="A84" s="11">
        <v>81</v>
      </c>
      <c r="B84" s="11" t="s">
        <v>134</v>
      </c>
      <c r="C84" s="11" t="s">
        <v>115</v>
      </c>
      <c r="D84" s="14" t="s">
        <v>196</v>
      </c>
      <c r="E84" s="13" t="s">
        <v>197</v>
      </c>
      <c r="F84" s="11" t="s">
        <v>13</v>
      </c>
      <c r="G84" s="11"/>
    </row>
    <row r="85" customHeight="1" spans="1:7">
      <c r="A85" s="11">
        <v>82</v>
      </c>
      <c r="B85" s="11" t="s">
        <v>134</v>
      </c>
      <c r="C85" s="11" t="s">
        <v>115</v>
      </c>
      <c r="D85" s="14" t="s">
        <v>198</v>
      </c>
      <c r="E85" s="13" t="s">
        <v>199</v>
      </c>
      <c r="F85" s="11" t="s">
        <v>13</v>
      </c>
      <c r="G85" s="11"/>
    </row>
    <row r="86" customHeight="1" spans="1:7">
      <c r="A86" s="11">
        <v>83</v>
      </c>
      <c r="B86" s="11" t="s">
        <v>134</v>
      </c>
      <c r="C86" s="11" t="s">
        <v>115</v>
      </c>
      <c r="D86" s="14" t="s">
        <v>200</v>
      </c>
      <c r="E86" s="13" t="s">
        <v>201</v>
      </c>
      <c r="F86" s="11" t="s">
        <v>13</v>
      </c>
      <c r="G86" s="11"/>
    </row>
    <row r="87" customHeight="1" spans="1:7">
      <c r="A87" s="11">
        <v>84</v>
      </c>
      <c r="B87" s="11" t="s">
        <v>134</v>
      </c>
      <c r="C87" s="11" t="s">
        <v>115</v>
      </c>
      <c r="D87" s="14" t="s">
        <v>202</v>
      </c>
      <c r="E87" s="13" t="s">
        <v>203</v>
      </c>
      <c r="F87" s="11" t="s">
        <v>13</v>
      </c>
      <c r="G87" s="11"/>
    </row>
    <row r="88" customHeight="1" spans="1:7">
      <c r="A88" s="11">
        <v>85</v>
      </c>
      <c r="B88" s="11" t="s">
        <v>134</v>
      </c>
      <c r="C88" s="11" t="s">
        <v>115</v>
      </c>
      <c r="D88" s="14" t="s">
        <v>204</v>
      </c>
      <c r="E88" s="13" t="s">
        <v>205</v>
      </c>
      <c r="F88" s="11" t="s">
        <v>13</v>
      </c>
      <c r="G88" s="11"/>
    </row>
    <row r="89" customHeight="1" spans="1:7">
      <c r="A89" s="11">
        <v>86</v>
      </c>
      <c r="B89" s="11" t="s">
        <v>134</v>
      </c>
      <c r="C89" s="11" t="s">
        <v>206</v>
      </c>
      <c r="D89" s="14" t="s">
        <v>207</v>
      </c>
      <c r="E89" s="13" t="s">
        <v>208</v>
      </c>
      <c r="F89" s="11" t="s">
        <v>13</v>
      </c>
      <c r="G89" s="11"/>
    </row>
    <row r="90" customHeight="1" spans="1:7">
      <c r="A90" s="11">
        <v>87</v>
      </c>
      <c r="B90" s="11" t="s">
        <v>134</v>
      </c>
      <c r="C90" s="11" t="s">
        <v>206</v>
      </c>
      <c r="D90" s="14" t="s">
        <v>209</v>
      </c>
      <c r="E90" s="13" t="s">
        <v>210</v>
      </c>
      <c r="F90" s="11" t="s">
        <v>13</v>
      </c>
      <c r="G90" s="11"/>
    </row>
    <row r="91" customHeight="1" spans="1:7">
      <c r="A91" s="11">
        <v>88</v>
      </c>
      <c r="B91" s="11" t="s">
        <v>134</v>
      </c>
      <c r="C91" s="11" t="s">
        <v>206</v>
      </c>
      <c r="D91" s="14" t="s">
        <v>211</v>
      </c>
      <c r="E91" s="13" t="s">
        <v>212</v>
      </c>
      <c r="F91" s="11" t="s">
        <v>13</v>
      </c>
      <c r="G91" s="11"/>
    </row>
    <row r="92" customHeight="1" spans="1:7">
      <c r="A92" s="11">
        <v>89</v>
      </c>
      <c r="B92" s="11" t="s">
        <v>134</v>
      </c>
      <c r="C92" s="11" t="s">
        <v>206</v>
      </c>
      <c r="D92" s="14" t="s">
        <v>213</v>
      </c>
      <c r="E92" s="13" t="s">
        <v>214</v>
      </c>
      <c r="F92" s="11" t="s">
        <v>13</v>
      </c>
      <c r="G92" s="11"/>
    </row>
    <row r="93" customHeight="1" spans="1:7">
      <c r="A93" s="11">
        <v>90</v>
      </c>
      <c r="B93" s="11" t="s">
        <v>134</v>
      </c>
      <c r="C93" s="11" t="s">
        <v>206</v>
      </c>
      <c r="D93" s="14" t="s">
        <v>215</v>
      </c>
      <c r="E93" s="13" t="s">
        <v>216</v>
      </c>
      <c r="F93" s="11" t="s">
        <v>13</v>
      </c>
      <c r="G93" s="11"/>
    </row>
    <row r="94" customHeight="1" spans="1:7">
      <c r="A94" s="11">
        <v>91</v>
      </c>
      <c r="B94" s="11" t="s">
        <v>217</v>
      </c>
      <c r="C94" s="11" t="s">
        <v>135</v>
      </c>
      <c r="D94" s="14" t="s">
        <v>218</v>
      </c>
      <c r="E94" s="13" t="s">
        <v>219</v>
      </c>
      <c r="F94" s="11" t="s">
        <v>13</v>
      </c>
      <c r="G94" s="11"/>
    </row>
    <row r="95" customHeight="1" spans="1:7">
      <c r="A95" s="11">
        <v>92</v>
      </c>
      <c r="B95" s="11" t="s">
        <v>217</v>
      </c>
      <c r="C95" s="11" t="s">
        <v>220</v>
      </c>
      <c r="D95" s="14" t="s">
        <v>221</v>
      </c>
      <c r="E95" s="13" t="s">
        <v>222</v>
      </c>
      <c r="F95" s="11" t="s">
        <v>13</v>
      </c>
      <c r="G95" s="11"/>
    </row>
    <row r="96" customHeight="1" spans="1:7">
      <c r="A96" s="11">
        <v>93</v>
      </c>
      <c r="B96" s="11" t="s">
        <v>217</v>
      </c>
      <c r="C96" s="11" t="s">
        <v>223</v>
      </c>
      <c r="D96" s="14" t="s">
        <v>224</v>
      </c>
      <c r="E96" s="13" t="s">
        <v>225</v>
      </c>
      <c r="F96" s="11" t="s">
        <v>13</v>
      </c>
      <c r="G96" s="11"/>
    </row>
    <row r="97" customHeight="1" spans="1:7">
      <c r="A97" s="11">
        <v>94</v>
      </c>
      <c r="B97" s="11" t="s">
        <v>217</v>
      </c>
      <c r="C97" s="11" t="s">
        <v>140</v>
      </c>
      <c r="D97" s="14" t="s">
        <v>226</v>
      </c>
      <c r="E97" s="13" t="s">
        <v>227</v>
      </c>
      <c r="F97" s="11" t="s">
        <v>13</v>
      </c>
      <c r="G97" s="11"/>
    </row>
    <row r="98" customHeight="1" spans="1:7">
      <c r="A98" s="11">
        <v>95</v>
      </c>
      <c r="B98" s="11" t="s">
        <v>217</v>
      </c>
      <c r="C98" s="11" t="s">
        <v>228</v>
      </c>
      <c r="D98" s="14" t="s">
        <v>229</v>
      </c>
      <c r="E98" s="13" t="s">
        <v>230</v>
      </c>
      <c r="F98" s="11" t="s">
        <v>13</v>
      </c>
      <c r="G98" s="11"/>
    </row>
    <row r="99" customHeight="1" spans="1:7">
      <c r="A99" s="11">
        <v>96</v>
      </c>
      <c r="B99" s="11" t="s">
        <v>217</v>
      </c>
      <c r="C99" s="11" t="s">
        <v>165</v>
      </c>
      <c r="D99" s="14" t="s">
        <v>231</v>
      </c>
      <c r="E99" s="13" t="s">
        <v>232</v>
      </c>
      <c r="F99" s="11" t="s">
        <v>13</v>
      </c>
      <c r="G99" s="11"/>
    </row>
    <row r="100" customHeight="1" spans="1:7">
      <c r="A100" s="11">
        <v>97</v>
      </c>
      <c r="B100" s="11" t="s">
        <v>217</v>
      </c>
      <c r="C100" s="11" t="s">
        <v>108</v>
      </c>
      <c r="D100" s="14" t="s">
        <v>233</v>
      </c>
      <c r="E100" s="13" t="s">
        <v>234</v>
      </c>
      <c r="F100" s="11" t="s">
        <v>13</v>
      </c>
      <c r="G100" s="11"/>
    </row>
    <row r="101" customHeight="1" spans="1:7">
      <c r="A101" s="11">
        <v>98</v>
      </c>
      <c r="B101" s="11" t="s">
        <v>217</v>
      </c>
      <c r="C101" s="11" t="s">
        <v>108</v>
      </c>
      <c r="D101" s="14" t="s">
        <v>235</v>
      </c>
      <c r="E101" s="13" t="s">
        <v>236</v>
      </c>
      <c r="F101" s="11" t="s">
        <v>13</v>
      </c>
      <c r="G101" s="11"/>
    </row>
    <row r="102" customHeight="1" spans="1:7">
      <c r="A102" s="11">
        <v>99</v>
      </c>
      <c r="B102" s="11" t="s">
        <v>217</v>
      </c>
      <c r="C102" s="11" t="s">
        <v>115</v>
      </c>
      <c r="D102" s="14" t="s">
        <v>237</v>
      </c>
      <c r="E102" s="13" t="s">
        <v>238</v>
      </c>
      <c r="F102" s="11" t="s">
        <v>13</v>
      </c>
      <c r="G102" s="11"/>
    </row>
    <row r="103" customHeight="1" spans="1:7">
      <c r="A103" s="11">
        <v>100</v>
      </c>
      <c r="B103" s="11" t="s">
        <v>217</v>
      </c>
      <c r="C103" s="11" t="s">
        <v>115</v>
      </c>
      <c r="D103" s="14" t="s">
        <v>239</v>
      </c>
      <c r="E103" s="13" t="s">
        <v>240</v>
      </c>
      <c r="F103" s="11" t="s">
        <v>13</v>
      </c>
      <c r="G103" s="11"/>
    </row>
    <row r="104" customHeight="1" spans="1:7">
      <c r="A104" s="11">
        <v>101</v>
      </c>
      <c r="B104" s="11" t="s">
        <v>217</v>
      </c>
      <c r="C104" s="11" t="s">
        <v>115</v>
      </c>
      <c r="D104" s="14" t="s">
        <v>241</v>
      </c>
      <c r="E104" s="13" t="s">
        <v>242</v>
      </c>
      <c r="F104" s="11" t="s">
        <v>13</v>
      </c>
      <c r="G104" s="11"/>
    </row>
    <row r="105" customHeight="1" spans="1:7">
      <c r="A105" s="11">
        <v>102</v>
      </c>
      <c r="B105" s="11" t="s">
        <v>243</v>
      </c>
      <c r="C105" s="11" t="s">
        <v>135</v>
      </c>
      <c r="D105" s="14" t="s">
        <v>244</v>
      </c>
      <c r="E105" s="13" t="s">
        <v>245</v>
      </c>
      <c r="F105" s="11" t="s">
        <v>13</v>
      </c>
      <c r="G105" s="11"/>
    </row>
    <row r="106" customHeight="1" spans="1:7">
      <c r="A106" s="11">
        <v>103</v>
      </c>
      <c r="B106" s="11" t="s">
        <v>246</v>
      </c>
      <c r="C106" s="11" t="s">
        <v>247</v>
      </c>
      <c r="D106" s="14" t="s">
        <v>248</v>
      </c>
      <c r="E106" s="13" t="s">
        <v>249</v>
      </c>
      <c r="F106" s="11" t="s">
        <v>13</v>
      </c>
      <c r="G106" s="11"/>
    </row>
    <row r="107" customHeight="1" spans="1:7">
      <c r="A107" s="11">
        <v>104</v>
      </c>
      <c r="B107" s="11" t="s">
        <v>246</v>
      </c>
      <c r="C107" s="11" t="s">
        <v>250</v>
      </c>
      <c r="D107" s="14" t="s">
        <v>251</v>
      </c>
      <c r="E107" s="13" t="s">
        <v>252</v>
      </c>
      <c r="F107" s="11" t="s">
        <v>13</v>
      </c>
      <c r="G107" s="11"/>
    </row>
    <row r="108" customHeight="1" spans="1:7">
      <c r="A108" s="11">
        <v>105</v>
      </c>
      <c r="B108" s="11" t="s">
        <v>246</v>
      </c>
      <c r="C108" s="11" t="s">
        <v>253</v>
      </c>
      <c r="D108" s="14" t="s">
        <v>254</v>
      </c>
      <c r="E108" s="13" t="s">
        <v>255</v>
      </c>
      <c r="F108" s="11" t="s">
        <v>13</v>
      </c>
      <c r="G108" s="11"/>
    </row>
    <row r="109" customHeight="1" spans="1:7">
      <c r="A109" s="11">
        <v>106</v>
      </c>
      <c r="B109" s="11" t="s">
        <v>246</v>
      </c>
      <c r="C109" s="11" t="s">
        <v>256</v>
      </c>
      <c r="D109" s="14" t="s">
        <v>257</v>
      </c>
      <c r="E109" s="13" t="s">
        <v>258</v>
      </c>
      <c r="F109" s="11" t="s">
        <v>13</v>
      </c>
      <c r="G109" s="11"/>
    </row>
    <row r="110" customHeight="1" spans="1:7">
      <c r="A110" s="11">
        <v>107</v>
      </c>
      <c r="B110" s="11" t="s">
        <v>259</v>
      </c>
      <c r="C110" s="11" t="s">
        <v>260</v>
      </c>
      <c r="D110" s="14" t="s">
        <v>261</v>
      </c>
      <c r="E110" s="13" t="s">
        <v>262</v>
      </c>
      <c r="F110" s="11" t="s">
        <v>13</v>
      </c>
      <c r="G110" s="11"/>
    </row>
    <row r="111" s="1" customFormat="1" customHeight="1" spans="1:7">
      <c r="A111" s="11">
        <v>108</v>
      </c>
      <c r="B111" s="11" t="s">
        <v>259</v>
      </c>
      <c r="C111" s="11" t="s">
        <v>263</v>
      </c>
      <c r="D111" s="14" t="s">
        <v>264</v>
      </c>
      <c r="E111" s="13" t="s">
        <v>265</v>
      </c>
      <c r="F111" s="11" t="s">
        <v>266</v>
      </c>
      <c r="G111" s="11"/>
    </row>
    <row r="112" customHeight="1" spans="1:7">
      <c r="A112" s="11">
        <v>109</v>
      </c>
      <c r="B112" s="11" t="s">
        <v>259</v>
      </c>
      <c r="C112" s="11" t="s">
        <v>267</v>
      </c>
      <c r="D112" s="14" t="s">
        <v>268</v>
      </c>
      <c r="E112" s="13" t="s">
        <v>269</v>
      </c>
      <c r="F112" s="11" t="s">
        <v>13</v>
      </c>
      <c r="G112" s="11"/>
    </row>
    <row r="113" customHeight="1" spans="1:7">
      <c r="A113" s="11">
        <v>110</v>
      </c>
      <c r="B113" s="11" t="s">
        <v>259</v>
      </c>
      <c r="C113" s="11" t="s">
        <v>247</v>
      </c>
      <c r="D113" s="14" t="s">
        <v>270</v>
      </c>
      <c r="E113" s="13" t="s">
        <v>271</v>
      </c>
      <c r="F113" s="11" t="s">
        <v>13</v>
      </c>
      <c r="G113" s="11"/>
    </row>
    <row r="114" customHeight="1" spans="1:7">
      <c r="A114" s="11">
        <v>111</v>
      </c>
      <c r="B114" s="11" t="s">
        <v>259</v>
      </c>
      <c r="C114" s="11" t="s">
        <v>272</v>
      </c>
      <c r="D114" s="14" t="s">
        <v>273</v>
      </c>
      <c r="E114" s="13" t="s">
        <v>274</v>
      </c>
      <c r="F114" s="11" t="s">
        <v>13</v>
      </c>
      <c r="G114" s="11"/>
    </row>
    <row r="115" customHeight="1" spans="1:7">
      <c r="A115" s="11">
        <v>112</v>
      </c>
      <c r="B115" s="11" t="s">
        <v>275</v>
      </c>
      <c r="C115" s="11" t="s">
        <v>135</v>
      </c>
      <c r="D115" s="14" t="s">
        <v>276</v>
      </c>
      <c r="E115" s="13" t="s">
        <v>277</v>
      </c>
      <c r="F115" s="11" t="s">
        <v>13</v>
      </c>
      <c r="G115" s="11"/>
    </row>
    <row r="116" customHeight="1" spans="1:7">
      <c r="A116" s="11">
        <v>113</v>
      </c>
      <c r="B116" s="11" t="s">
        <v>278</v>
      </c>
      <c r="C116" s="11" t="s">
        <v>260</v>
      </c>
      <c r="D116" s="14" t="s">
        <v>279</v>
      </c>
      <c r="E116" s="13" t="s">
        <v>280</v>
      </c>
      <c r="F116" s="11" t="s">
        <v>13</v>
      </c>
      <c r="G116" s="11"/>
    </row>
    <row r="117" customHeight="1" spans="1:7">
      <c r="A117" s="11">
        <v>114</v>
      </c>
      <c r="B117" s="11" t="s">
        <v>278</v>
      </c>
      <c r="C117" s="11" t="s">
        <v>247</v>
      </c>
      <c r="D117" s="14" t="s">
        <v>281</v>
      </c>
      <c r="E117" s="13" t="s">
        <v>282</v>
      </c>
      <c r="F117" s="11" t="s">
        <v>13</v>
      </c>
      <c r="G117" s="11"/>
    </row>
    <row r="118" customHeight="1" spans="1:7">
      <c r="A118" s="11">
        <v>115</v>
      </c>
      <c r="B118" s="11" t="s">
        <v>278</v>
      </c>
      <c r="C118" s="11" t="s">
        <v>135</v>
      </c>
      <c r="D118" s="14" t="s">
        <v>283</v>
      </c>
      <c r="E118" s="13" t="s">
        <v>284</v>
      </c>
      <c r="F118" s="11" t="s">
        <v>13</v>
      </c>
      <c r="G118" s="11"/>
    </row>
    <row r="119" customHeight="1" spans="1:7">
      <c r="A119" s="11">
        <v>116</v>
      </c>
      <c r="B119" s="11" t="s">
        <v>278</v>
      </c>
      <c r="C119" s="11" t="s">
        <v>135</v>
      </c>
      <c r="D119" s="14" t="s">
        <v>285</v>
      </c>
      <c r="E119" s="13" t="s">
        <v>286</v>
      </c>
      <c r="F119" s="11" t="s">
        <v>13</v>
      </c>
      <c r="G119" s="11"/>
    </row>
    <row r="120" customHeight="1" spans="1:7">
      <c r="A120" s="11">
        <v>117</v>
      </c>
      <c r="B120" s="11" t="s">
        <v>278</v>
      </c>
      <c r="C120" s="11" t="s">
        <v>44</v>
      </c>
      <c r="D120" s="14" t="s">
        <v>287</v>
      </c>
      <c r="E120" s="13" t="s">
        <v>288</v>
      </c>
      <c r="F120" s="11" t="s">
        <v>13</v>
      </c>
      <c r="G120" s="11"/>
    </row>
    <row r="121" customHeight="1" spans="1:7">
      <c r="A121" s="11">
        <v>118</v>
      </c>
      <c r="B121" s="11" t="s">
        <v>278</v>
      </c>
      <c r="C121" s="11" t="s">
        <v>44</v>
      </c>
      <c r="D121" s="14" t="s">
        <v>289</v>
      </c>
      <c r="E121" s="13" t="s">
        <v>290</v>
      </c>
      <c r="F121" s="11" t="s">
        <v>13</v>
      </c>
      <c r="G121" s="11"/>
    </row>
    <row r="122" customHeight="1" spans="1:7">
      <c r="A122" s="11">
        <v>119</v>
      </c>
      <c r="B122" s="11" t="s">
        <v>278</v>
      </c>
      <c r="C122" s="11" t="s">
        <v>51</v>
      </c>
      <c r="D122" s="14" t="s">
        <v>291</v>
      </c>
      <c r="E122" s="13" t="s">
        <v>292</v>
      </c>
      <c r="F122" s="11" t="s">
        <v>13</v>
      </c>
      <c r="G122" s="11"/>
    </row>
    <row r="123" customHeight="1" spans="1:7">
      <c r="A123" s="11">
        <v>120</v>
      </c>
      <c r="B123" s="11" t="s">
        <v>278</v>
      </c>
      <c r="C123" s="11" t="s">
        <v>51</v>
      </c>
      <c r="D123" s="14" t="s">
        <v>293</v>
      </c>
      <c r="E123" s="13" t="s">
        <v>294</v>
      </c>
      <c r="F123" s="11" t="s">
        <v>13</v>
      </c>
      <c r="G123" s="11"/>
    </row>
    <row r="124" customHeight="1" spans="1:7">
      <c r="A124" s="11">
        <v>121</v>
      </c>
      <c r="B124" s="11" t="s">
        <v>278</v>
      </c>
      <c r="C124" s="11" t="s">
        <v>51</v>
      </c>
      <c r="D124" s="14" t="s">
        <v>295</v>
      </c>
      <c r="E124" s="13" t="s">
        <v>296</v>
      </c>
      <c r="F124" s="11" t="s">
        <v>13</v>
      </c>
      <c r="G124" s="11"/>
    </row>
    <row r="125" customHeight="1" spans="1:7">
      <c r="A125" s="11">
        <v>122</v>
      </c>
      <c r="B125" s="11" t="s">
        <v>278</v>
      </c>
      <c r="C125" s="11" t="s">
        <v>157</v>
      </c>
      <c r="D125" s="14" t="s">
        <v>297</v>
      </c>
      <c r="E125" s="13" t="s">
        <v>298</v>
      </c>
      <c r="F125" s="11" t="s">
        <v>13</v>
      </c>
      <c r="G125" s="11"/>
    </row>
    <row r="126" customHeight="1" spans="1:7">
      <c r="A126" s="11">
        <v>123</v>
      </c>
      <c r="B126" s="11" t="s">
        <v>278</v>
      </c>
      <c r="C126" s="11" t="s">
        <v>165</v>
      </c>
      <c r="D126" s="14" t="s">
        <v>299</v>
      </c>
      <c r="E126" s="13" t="s">
        <v>300</v>
      </c>
      <c r="F126" s="11" t="s">
        <v>13</v>
      </c>
      <c r="G126" s="11"/>
    </row>
    <row r="127" customHeight="1" spans="1:7">
      <c r="A127" s="11">
        <v>124</v>
      </c>
      <c r="B127" s="11" t="s">
        <v>278</v>
      </c>
      <c r="C127" s="11" t="s">
        <v>82</v>
      </c>
      <c r="D127" s="14" t="s">
        <v>301</v>
      </c>
      <c r="E127" s="13" t="s">
        <v>302</v>
      </c>
      <c r="F127" s="11" t="s">
        <v>13</v>
      </c>
      <c r="G127" s="11"/>
    </row>
    <row r="128" customHeight="1" spans="1:7">
      <c r="A128" s="11">
        <v>125</v>
      </c>
      <c r="B128" s="11" t="s">
        <v>278</v>
      </c>
      <c r="C128" s="11" t="s">
        <v>82</v>
      </c>
      <c r="D128" s="14" t="s">
        <v>303</v>
      </c>
      <c r="E128" s="13" t="s">
        <v>304</v>
      </c>
      <c r="F128" s="11" t="s">
        <v>13</v>
      </c>
      <c r="G128" s="11"/>
    </row>
    <row r="129" customHeight="1" spans="1:7">
      <c r="A129" s="11">
        <v>126</v>
      </c>
      <c r="B129" s="11" t="s">
        <v>278</v>
      </c>
      <c r="C129" s="11" t="s">
        <v>89</v>
      </c>
      <c r="D129" s="14" t="s">
        <v>305</v>
      </c>
      <c r="E129" s="13" t="s">
        <v>306</v>
      </c>
      <c r="F129" s="11" t="s">
        <v>13</v>
      </c>
      <c r="G129" s="11"/>
    </row>
    <row r="130" customHeight="1" spans="1:7">
      <c r="A130" s="11">
        <v>127</v>
      </c>
      <c r="B130" s="11" t="s">
        <v>278</v>
      </c>
      <c r="C130" s="11" t="s">
        <v>108</v>
      </c>
      <c r="D130" s="14" t="s">
        <v>307</v>
      </c>
      <c r="E130" s="13" t="s">
        <v>308</v>
      </c>
      <c r="F130" s="11" t="s">
        <v>13</v>
      </c>
      <c r="G130" s="11"/>
    </row>
    <row r="131" customHeight="1" spans="1:7">
      <c r="A131" s="11">
        <v>128</v>
      </c>
      <c r="B131" s="11" t="s">
        <v>278</v>
      </c>
      <c r="C131" s="11" t="s">
        <v>108</v>
      </c>
      <c r="D131" s="14" t="s">
        <v>309</v>
      </c>
      <c r="E131" s="13" t="s">
        <v>310</v>
      </c>
      <c r="F131" s="11" t="s">
        <v>13</v>
      </c>
      <c r="G131" s="11"/>
    </row>
    <row r="132" customHeight="1" spans="1:7">
      <c r="A132" s="11">
        <v>129</v>
      </c>
      <c r="B132" s="11" t="s">
        <v>278</v>
      </c>
      <c r="C132" s="11" t="s">
        <v>108</v>
      </c>
      <c r="D132" s="14" t="s">
        <v>311</v>
      </c>
      <c r="E132" s="13" t="s">
        <v>312</v>
      </c>
      <c r="F132" s="11" t="s">
        <v>13</v>
      </c>
      <c r="G132" s="11"/>
    </row>
    <row r="133" customHeight="1" spans="1:7">
      <c r="A133" s="11">
        <v>130</v>
      </c>
      <c r="B133" s="11" t="s">
        <v>278</v>
      </c>
      <c r="C133" s="11" t="s">
        <v>115</v>
      </c>
      <c r="D133" s="14" t="s">
        <v>313</v>
      </c>
      <c r="E133" s="13" t="s">
        <v>314</v>
      </c>
      <c r="F133" s="11" t="s">
        <v>13</v>
      </c>
      <c r="G133" s="11"/>
    </row>
    <row r="134" customHeight="1" spans="1:7">
      <c r="A134" s="11">
        <v>131</v>
      </c>
      <c r="B134" s="11" t="s">
        <v>278</v>
      </c>
      <c r="C134" s="11" t="s">
        <v>115</v>
      </c>
      <c r="D134" s="14" t="s">
        <v>315</v>
      </c>
      <c r="E134" s="13" t="s">
        <v>316</v>
      </c>
      <c r="F134" s="11" t="s">
        <v>13</v>
      </c>
      <c r="G134" s="11"/>
    </row>
    <row r="135" customHeight="1" spans="1:7">
      <c r="A135" s="11">
        <v>132</v>
      </c>
      <c r="B135" s="11" t="s">
        <v>278</v>
      </c>
      <c r="C135" s="11" t="s">
        <v>115</v>
      </c>
      <c r="D135" s="14" t="s">
        <v>317</v>
      </c>
      <c r="E135" s="13" t="s">
        <v>318</v>
      </c>
      <c r="F135" s="11" t="s">
        <v>13</v>
      </c>
      <c r="G135" s="11"/>
    </row>
    <row r="136" customHeight="1" spans="1:7">
      <c r="A136" s="11">
        <v>133</v>
      </c>
      <c r="B136" s="11" t="s">
        <v>319</v>
      </c>
      <c r="C136" s="11" t="s">
        <v>320</v>
      </c>
      <c r="D136" s="14" t="s">
        <v>321</v>
      </c>
      <c r="E136" s="13" t="s">
        <v>322</v>
      </c>
      <c r="F136" s="11" t="s">
        <v>13</v>
      </c>
      <c r="G136" s="11"/>
    </row>
    <row r="137" customHeight="1" spans="1:7">
      <c r="A137" s="11">
        <v>134</v>
      </c>
      <c r="B137" s="11" t="s">
        <v>323</v>
      </c>
      <c r="C137" s="11" t="s">
        <v>263</v>
      </c>
      <c r="D137" s="14" t="s">
        <v>324</v>
      </c>
      <c r="E137" s="13" t="s">
        <v>325</v>
      </c>
      <c r="F137" s="15" t="s">
        <v>326</v>
      </c>
      <c r="G137" s="11" t="s">
        <v>327</v>
      </c>
    </row>
    <row r="138" customHeight="1" spans="1:7">
      <c r="A138" s="11">
        <v>135</v>
      </c>
      <c r="B138" s="11" t="s">
        <v>323</v>
      </c>
      <c r="C138" s="11" t="s">
        <v>263</v>
      </c>
      <c r="D138" s="11" t="s">
        <v>328</v>
      </c>
      <c r="E138" s="11" t="s">
        <v>329</v>
      </c>
      <c r="F138" s="11" t="s">
        <v>13</v>
      </c>
      <c r="G138" s="11" t="s">
        <v>330</v>
      </c>
    </row>
    <row r="139" customHeight="1" spans="1:7">
      <c r="A139" s="11">
        <v>136</v>
      </c>
      <c r="B139" s="11" t="s">
        <v>323</v>
      </c>
      <c r="C139" s="11" t="s">
        <v>331</v>
      </c>
      <c r="D139" s="14" t="s">
        <v>332</v>
      </c>
      <c r="E139" s="13" t="s">
        <v>333</v>
      </c>
      <c r="F139" s="11" t="s">
        <v>13</v>
      </c>
      <c r="G139" s="11"/>
    </row>
    <row r="140" customHeight="1" spans="1:7">
      <c r="A140" s="11">
        <v>137</v>
      </c>
      <c r="B140" s="11" t="s">
        <v>323</v>
      </c>
      <c r="C140" s="11" t="s">
        <v>247</v>
      </c>
      <c r="D140" s="14" t="s">
        <v>334</v>
      </c>
      <c r="E140" s="13" t="s">
        <v>335</v>
      </c>
      <c r="F140" s="11" t="s">
        <v>13</v>
      </c>
      <c r="G140" s="11"/>
    </row>
    <row r="141" customHeight="1" spans="1:7">
      <c r="A141" s="11">
        <v>138</v>
      </c>
      <c r="B141" s="11" t="s">
        <v>336</v>
      </c>
      <c r="C141" s="11" t="s">
        <v>337</v>
      </c>
      <c r="D141" s="14" t="s">
        <v>338</v>
      </c>
      <c r="E141" s="13" t="s">
        <v>339</v>
      </c>
      <c r="F141" s="11" t="s">
        <v>13</v>
      </c>
      <c r="G141" s="11"/>
    </row>
    <row r="142" customHeight="1" spans="1:7">
      <c r="A142" s="11">
        <v>139</v>
      </c>
      <c r="B142" s="11" t="s">
        <v>336</v>
      </c>
      <c r="C142" s="11" t="s">
        <v>340</v>
      </c>
      <c r="D142" s="14" t="s">
        <v>341</v>
      </c>
      <c r="E142" s="13" t="s">
        <v>342</v>
      </c>
      <c r="F142" s="11" t="s">
        <v>13</v>
      </c>
      <c r="G142" s="11"/>
    </row>
    <row r="143" customHeight="1" spans="1:7">
      <c r="A143" s="11">
        <v>140</v>
      </c>
      <c r="B143" s="11" t="s">
        <v>336</v>
      </c>
      <c r="C143" s="11" t="s">
        <v>343</v>
      </c>
      <c r="D143" s="14" t="s">
        <v>344</v>
      </c>
      <c r="E143" s="13" t="s">
        <v>345</v>
      </c>
      <c r="F143" s="11" t="s">
        <v>13</v>
      </c>
      <c r="G143" s="11"/>
    </row>
    <row r="144" customHeight="1" spans="1:7">
      <c r="A144" s="11">
        <v>141</v>
      </c>
      <c r="B144" s="11" t="s">
        <v>336</v>
      </c>
      <c r="C144" s="11" t="s">
        <v>343</v>
      </c>
      <c r="D144" s="14" t="s">
        <v>346</v>
      </c>
      <c r="E144" s="13" t="s">
        <v>347</v>
      </c>
      <c r="F144" s="11" t="s">
        <v>13</v>
      </c>
      <c r="G144" s="11"/>
    </row>
    <row r="145" customHeight="1" spans="1:7">
      <c r="A145" s="11">
        <v>142</v>
      </c>
      <c r="B145" s="11" t="s">
        <v>336</v>
      </c>
      <c r="C145" s="11" t="s">
        <v>348</v>
      </c>
      <c r="D145" s="14" t="s">
        <v>349</v>
      </c>
      <c r="E145" s="13" t="s">
        <v>350</v>
      </c>
      <c r="F145" s="11" t="s">
        <v>13</v>
      </c>
      <c r="G145" s="11"/>
    </row>
    <row r="146" customHeight="1" spans="1:7">
      <c r="A146" s="11">
        <v>143</v>
      </c>
      <c r="B146" s="11" t="s">
        <v>336</v>
      </c>
      <c r="C146" s="11" t="s">
        <v>348</v>
      </c>
      <c r="D146" s="14" t="s">
        <v>351</v>
      </c>
      <c r="E146" s="13" t="s">
        <v>352</v>
      </c>
      <c r="F146" s="11" t="s">
        <v>13</v>
      </c>
      <c r="G146" s="11"/>
    </row>
    <row r="147" customHeight="1" spans="1:7">
      <c r="A147" s="11">
        <v>144</v>
      </c>
      <c r="B147" s="11" t="s">
        <v>336</v>
      </c>
      <c r="C147" s="11" t="s">
        <v>331</v>
      </c>
      <c r="D147" s="14" t="s">
        <v>353</v>
      </c>
      <c r="E147" s="13" t="s">
        <v>354</v>
      </c>
      <c r="F147" s="11" t="s">
        <v>13</v>
      </c>
      <c r="G147" s="11"/>
    </row>
    <row r="148" customHeight="1" spans="1:7">
      <c r="A148" s="11">
        <v>145</v>
      </c>
      <c r="B148" s="11" t="s">
        <v>336</v>
      </c>
      <c r="C148" s="11" t="s">
        <v>267</v>
      </c>
      <c r="D148" s="14" t="s">
        <v>355</v>
      </c>
      <c r="E148" s="13" t="s">
        <v>356</v>
      </c>
      <c r="F148" s="11" t="s">
        <v>13</v>
      </c>
      <c r="G148" s="11"/>
    </row>
    <row r="149" customHeight="1" spans="1:7">
      <c r="A149" s="11">
        <v>146</v>
      </c>
      <c r="B149" s="11" t="s">
        <v>336</v>
      </c>
      <c r="C149" s="11" t="s">
        <v>357</v>
      </c>
      <c r="D149" s="14" t="s">
        <v>358</v>
      </c>
      <c r="E149" s="13" t="s">
        <v>359</v>
      </c>
      <c r="F149" s="11" t="s">
        <v>13</v>
      </c>
      <c r="G149" s="11"/>
    </row>
    <row r="150" customHeight="1" spans="1:7">
      <c r="A150" s="11">
        <v>147</v>
      </c>
      <c r="B150" s="11" t="s">
        <v>336</v>
      </c>
      <c r="C150" s="11" t="s">
        <v>360</v>
      </c>
      <c r="D150" s="14" t="s">
        <v>361</v>
      </c>
      <c r="E150" s="13" t="s">
        <v>362</v>
      </c>
      <c r="F150" s="11" t="s">
        <v>13</v>
      </c>
      <c r="G150" s="11"/>
    </row>
    <row r="151" customHeight="1" spans="1:7">
      <c r="A151" s="11">
        <v>148</v>
      </c>
      <c r="B151" s="11" t="s">
        <v>336</v>
      </c>
      <c r="C151" s="11" t="s">
        <v>363</v>
      </c>
      <c r="D151" s="14" t="s">
        <v>364</v>
      </c>
      <c r="E151" s="13" t="s">
        <v>365</v>
      </c>
      <c r="F151" s="11" t="s">
        <v>13</v>
      </c>
      <c r="G151" s="11"/>
    </row>
    <row r="152" customHeight="1" spans="1:7">
      <c r="A152" s="11">
        <v>149</v>
      </c>
      <c r="B152" s="11" t="s">
        <v>336</v>
      </c>
      <c r="C152" s="11" t="s">
        <v>363</v>
      </c>
      <c r="D152" s="14" t="s">
        <v>366</v>
      </c>
      <c r="E152" s="13" t="s">
        <v>367</v>
      </c>
      <c r="F152" s="11" t="s">
        <v>13</v>
      </c>
      <c r="G152" s="11"/>
    </row>
    <row r="153" customHeight="1" spans="1:7">
      <c r="A153" s="11">
        <v>150</v>
      </c>
      <c r="B153" s="11" t="s">
        <v>336</v>
      </c>
      <c r="C153" s="11" t="s">
        <v>272</v>
      </c>
      <c r="D153" s="14" t="s">
        <v>368</v>
      </c>
      <c r="E153" s="13" t="s">
        <v>369</v>
      </c>
      <c r="F153" s="11" t="s">
        <v>13</v>
      </c>
      <c r="G153" s="11"/>
    </row>
    <row r="154" customHeight="1" spans="1:7">
      <c r="A154" s="11">
        <v>151</v>
      </c>
      <c r="B154" s="11" t="s">
        <v>336</v>
      </c>
      <c r="C154" s="11" t="s">
        <v>370</v>
      </c>
      <c r="D154" s="14" t="s">
        <v>371</v>
      </c>
      <c r="E154" s="13" t="s">
        <v>372</v>
      </c>
      <c r="F154" s="11" t="s">
        <v>13</v>
      </c>
      <c r="G154" s="11"/>
    </row>
    <row r="155" customHeight="1" spans="1:7">
      <c r="A155" s="11">
        <v>152</v>
      </c>
      <c r="B155" s="11" t="s">
        <v>336</v>
      </c>
      <c r="C155" s="11" t="s">
        <v>370</v>
      </c>
      <c r="D155" s="14" t="s">
        <v>373</v>
      </c>
      <c r="E155" s="13" t="s">
        <v>374</v>
      </c>
      <c r="F155" s="11" t="s">
        <v>13</v>
      </c>
      <c r="G155" s="11"/>
    </row>
    <row r="156" customHeight="1" spans="1:7">
      <c r="A156" s="11">
        <v>153</v>
      </c>
      <c r="B156" s="11" t="s">
        <v>336</v>
      </c>
      <c r="C156" s="11" t="s">
        <v>375</v>
      </c>
      <c r="D156" s="14" t="s">
        <v>376</v>
      </c>
      <c r="E156" s="13" t="s">
        <v>377</v>
      </c>
      <c r="F156" s="11" t="s">
        <v>13</v>
      </c>
      <c r="G156" s="11"/>
    </row>
    <row r="157" customHeight="1" spans="1:7">
      <c r="A157" s="11">
        <v>154</v>
      </c>
      <c r="B157" s="11" t="s">
        <v>336</v>
      </c>
      <c r="C157" s="11" t="s">
        <v>378</v>
      </c>
      <c r="D157" s="14" t="s">
        <v>379</v>
      </c>
      <c r="E157" s="13" t="s">
        <v>380</v>
      </c>
      <c r="F157" s="15" t="s">
        <v>326</v>
      </c>
      <c r="G157" s="11" t="s">
        <v>327</v>
      </c>
    </row>
    <row r="158" customHeight="1" spans="1:7">
      <c r="A158" s="11">
        <v>155</v>
      </c>
      <c r="B158" s="11" t="s">
        <v>336</v>
      </c>
      <c r="C158" s="11" t="s">
        <v>378</v>
      </c>
      <c r="D158" s="11" t="s">
        <v>381</v>
      </c>
      <c r="E158" s="11" t="s">
        <v>382</v>
      </c>
      <c r="F158" s="11" t="s">
        <v>13</v>
      </c>
      <c r="G158" s="11" t="s">
        <v>330</v>
      </c>
    </row>
    <row r="159" customHeight="1" spans="1:7">
      <c r="A159" s="11">
        <v>156</v>
      </c>
      <c r="B159" s="11" t="s">
        <v>336</v>
      </c>
      <c r="C159" s="11" t="s">
        <v>383</v>
      </c>
      <c r="D159" s="14" t="s">
        <v>384</v>
      </c>
      <c r="E159" s="13" t="s">
        <v>385</v>
      </c>
      <c r="F159" s="11" t="s">
        <v>13</v>
      </c>
      <c r="G159" s="11"/>
    </row>
    <row r="160" customHeight="1" spans="1:7">
      <c r="A160" s="11">
        <v>157</v>
      </c>
      <c r="B160" s="11" t="s">
        <v>336</v>
      </c>
      <c r="C160" s="11" t="s">
        <v>383</v>
      </c>
      <c r="D160" s="14" t="s">
        <v>386</v>
      </c>
      <c r="E160" s="13" t="s">
        <v>387</v>
      </c>
      <c r="F160" s="11" t="s">
        <v>13</v>
      </c>
      <c r="G160" s="11"/>
    </row>
    <row r="161" customHeight="1" spans="1:7">
      <c r="A161" s="11">
        <v>158</v>
      </c>
      <c r="B161" s="11" t="s">
        <v>388</v>
      </c>
      <c r="C161" s="11" t="s">
        <v>260</v>
      </c>
      <c r="D161" s="14" t="s">
        <v>389</v>
      </c>
      <c r="E161" s="13" t="s">
        <v>390</v>
      </c>
      <c r="F161" s="11" t="s">
        <v>13</v>
      </c>
      <c r="G161" s="11"/>
    </row>
    <row r="162" customHeight="1" spans="1:7">
      <c r="A162" s="11">
        <v>159</v>
      </c>
      <c r="B162" s="11" t="s">
        <v>388</v>
      </c>
      <c r="C162" s="11" t="s">
        <v>267</v>
      </c>
      <c r="D162" s="14" t="s">
        <v>391</v>
      </c>
      <c r="E162" s="13" t="s">
        <v>392</v>
      </c>
      <c r="F162" s="11" t="s">
        <v>13</v>
      </c>
      <c r="G162" s="11"/>
    </row>
    <row r="163" customHeight="1" spans="1:7">
      <c r="A163" s="11">
        <v>160</v>
      </c>
      <c r="B163" s="11" t="s">
        <v>388</v>
      </c>
      <c r="C163" s="11" t="s">
        <v>272</v>
      </c>
      <c r="D163" s="14" t="s">
        <v>393</v>
      </c>
      <c r="E163" s="13" t="s">
        <v>394</v>
      </c>
      <c r="F163" s="11" t="s">
        <v>13</v>
      </c>
      <c r="G163" s="11"/>
    </row>
    <row r="164" customHeight="1" spans="1:7">
      <c r="A164" s="11">
        <v>161</v>
      </c>
      <c r="B164" s="11" t="s">
        <v>388</v>
      </c>
      <c r="C164" s="11" t="s">
        <v>10</v>
      </c>
      <c r="D164" s="14" t="s">
        <v>395</v>
      </c>
      <c r="E164" s="13" t="s">
        <v>396</v>
      </c>
      <c r="F164" s="11" t="s">
        <v>13</v>
      </c>
      <c r="G164" s="11"/>
    </row>
    <row r="165" customHeight="1" spans="1:7">
      <c r="A165" s="11">
        <v>162</v>
      </c>
      <c r="B165" s="11" t="s">
        <v>388</v>
      </c>
      <c r="C165" s="11" t="s">
        <v>256</v>
      </c>
      <c r="D165" s="14" t="s">
        <v>397</v>
      </c>
      <c r="E165" s="13" t="s">
        <v>398</v>
      </c>
      <c r="F165" s="11" t="s">
        <v>13</v>
      </c>
      <c r="G165" s="11"/>
    </row>
    <row r="166" customHeight="1" spans="1:7">
      <c r="A166" s="11">
        <v>163</v>
      </c>
      <c r="B166" s="11" t="s">
        <v>388</v>
      </c>
      <c r="C166" s="11" t="s">
        <v>256</v>
      </c>
      <c r="D166" s="14" t="s">
        <v>399</v>
      </c>
      <c r="E166" s="13" t="s">
        <v>400</v>
      </c>
      <c r="F166" s="11" t="s">
        <v>13</v>
      </c>
      <c r="G166" s="11"/>
    </row>
    <row r="167" customHeight="1" spans="1:7">
      <c r="A167" s="11">
        <v>164</v>
      </c>
      <c r="B167" s="11" t="s">
        <v>401</v>
      </c>
      <c r="C167" s="11" t="s">
        <v>10</v>
      </c>
      <c r="D167" s="14" t="s">
        <v>402</v>
      </c>
      <c r="E167" s="13" t="s">
        <v>403</v>
      </c>
      <c r="F167" s="11" t="s">
        <v>13</v>
      </c>
      <c r="G167" s="11"/>
    </row>
    <row r="168" customHeight="1" spans="1:7">
      <c r="A168" s="11">
        <v>165</v>
      </c>
      <c r="B168" s="11" t="s">
        <v>401</v>
      </c>
      <c r="C168" s="11" t="s">
        <v>14</v>
      </c>
      <c r="D168" s="14" t="s">
        <v>404</v>
      </c>
      <c r="E168" s="13" t="s">
        <v>405</v>
      </c>
      <c r="F168" s="11" t="s">
        <v>13</v>
      </c>
      <c r="G168" s="11"/>
    </row>
    <row r="169" customHeight="1" spans="1:7">
      <c r="A169" s="11">
        <v>166</v>
      </c>
      <c r="B169" s="11" t="s">
        <v>401</v>
      </c>
      <c r="C169" s="11" t="s">
        <v>14</v>
      </c>
      <c r="D169" s="14" t="s">
        <v>406</v>
      </c>
      <c r="E169" s="13" t="s">
        <v>407</v>
      </c>
      <c r="F169" s="11" t="s">
        <v>13</v>
      </c>
      <c r="G169" s="11"/>
    </row>
    <row r="170" customHeight="1" spans="1:7">
      <c r="A170" s="11">
        <v>167</v>
      </c>
      <c r="B170" s="11" t="s">
        <v>401</v>
      </c>
      <c r="C170" s="11" t="s">
        <v>250</v>
      </c>
      <c r="D170" s="14" t="s">
        <v>408</v>
      </c>
      <c r="E170" s="13" t="s">
        <v>409</v>
      </c>
      <c r="F170" s="11" t="s">
        <v>13</v>
      </c>
      <c r="G170" s="11"/>
    </row>
    <row r="171" customHeight="1" spans="1:7">
      <c r="A171" s="11">
        <v>168</v>
      </c>
      <c r="B171" s="11" t="s">
        <v>401</v>
      </c>
      <c r="C171" s="11" t="s">
        <v>410</v>
      </c>
      <c r="D171" s="14" t="s">
        <v>411</v>
      </c>
      <c r="E171" s="13" t="s">
        <v>412</v>
      </c>
      <c r="F171" s="11" t="s">
        <v>13</v>
      </c>
      <c r="G171" s="11"/>
    </row>
    <row r="172" customHeight="1" spans="1:7">
      <c r="A172" s="11">
        <v>169</v>
      </c>
      <c r="B172" s="11" t="s">
        <v>401</v>
      </c>
      <c r="C172" s="11" t="s">
        <v>370</v>
      </c>
      <c r="D172" s="14" t="s">
        <v>413</v>
      </c>
      <c r="E172" s="13" t="s">
        <v>414</v>
      </c>
      <c r="F172" s="11" t="s">
        <v>13</v>
      </c>
      <c r="G172" s="11"/>
    </row>
    <row r="173" customHeight="1" spans="1:7">
      <c r="A173" s="11">
        <v>170</v>
      </c>
      <c r="B173" s="11" t="s">
        <v>401</v>
      </c>
      <c r="C173" s="11" t="s">
        <v>253</v>
      </c>
      <c r="D173" s="14" t="s">
        <v>415</v>
      </c>
      <c r="E173" s="13" t="s">
        <v>416</v>
      </c>
      <c r="F173" s="11" t="s">
        <v>13</v>
      </c>
      <c r="G173" s="11"/>
    </row>
    <row r="174" customHeight="1" spans="1:7">
      <c r="A174" s="11">
        <v>171</v>
      </c>
      <c r="B174" s="11" t="s">
        <v>401</v>
      </c>
      <c r="C174" s="11" t="s">
        <v>253</v>
      </c>
      <c r="D174" s="14" t="s">
        <v>417</v>
      </c>
      <c r="E174" s="13" t="s">
        <v>418</v>
      </c>
      <c r="F174" s="11" t="s">
        <v>13</v>
      </c>
      <c r="G174" s="11"/>
    </row>
    <row r="175" customHeight="1" spans="1:7">
      <c r="A175" s="11">
        <v>172</v>
      </c>
      <c r="B175" s="11" t="s">
        <v>401</v>
      </c>
      <c r="C175" s="11" t="s">
        <v>419</v>
      </c>
      <c r="D175" s="14" t="s">
        <v>420</v>
      </c>
      <c r="E175" s="13" t="s">
        <v>421</v>
      </c>
      <c r="F175" s="11" t="s">
        <v>13</v>
      </c>
      <c r="G175" s="11"/>
    </row>
    <row r="176" customHeight="1" spans="1:7">
      <c r="A176" s="11">
        <v>173</v>
      </c>
      <c r="B176" s="11" t="s">
        <v>401</v>
      </c>
      <c r="C176" s="11" t="s">
        <v>375</v>
      </c>
      <c r="D176" s="14" t="s">
        <v>422</v>
      </c>
      <c r="E176" s="13" t="s">
        <v>423</v>
      </c>
      <c r="F176" s="11" t="s">
        <v>13</v>
      </c>
      <c r="G176" s="11"/>
    </row>
    <row r="177" customHeight="1" spans="1:7">
      <c r="A177" s="11">
        <v>174</v>
      </c>
      <c r="B177" s="11" t="s">
        <v>401</v>
      </c>
      <c r="C177" s="11" t="s">
        <v>375</v>
      </c>
      <c r="D177" s="14" t="s">
        <v>424</v>
      </c>
      <c r="E177" s="13" t="s">
        <v>425</v>
      </c>
      <c r="F177" s="11" t="s">
        <v>13</v>
      </c>
      <c r="G177" s="11"/>
    </row>
    <row r="178" customHeight="1" spans="1:7">
      <c r="A178" s="11">
        <v>175</v>
      </c>
      <c r="B178" s="11" t="s">
        <v>401</v>
      </c>
      <c r="C178" s="11" t="s">
        <v>378</v>
      </c>
      <c r="D178" s="14" t="s">
        <v>426</v>
      </c>
      <c r="E178" s="13" t="s">
        <v>427</v>
      </c>
      <c r="F178" s="11" t="s">
        <v>13</v>
      </c>
      <c r="G178" s="11"/>
    </row>
    <row r="179" customHeight="1" spans="1:7">
      <c r="A179" s="11">
        <v>176</v>
      </c>
      <c r="B179" s="11" t="s">
        <v>401</v>
      </c>
      <c r="C179" s="11" t="s">
        <v>428</v>
      </c>
      <c r="D179" s="14" t="s">
        <v>429</v>
      </c>
      <c r="E179" s="13" t="s">
        <v>430</v>
      </c>
      <c r="F179" s="11" t="s">
        <v>13</v>
      </c>
      <c r="G179" s="11"/>
    </row>
    <row r="180" customHeight="1" spans="1:7">
      <c r="A180" s="11">
        <v>177</v>
      </c>
      <c r="B180" s="11" t="s">
        <v>401</v>
      </c>
      <c r="C180" s="11" t="s">
        <v>431</v>
      </c>
      <c r="D180" s="14" t="s">
        <v>432</v>
      </c>
      <c r="E180" s="13" t="s">
        <v>433</v>
      </c>
      <c r="F180" s="11" t="s">
        <v>13</v>
      </c>
      <c r="G180" s="11"/>
    </row>
    <row r="181" customHeight="1" spans="1:7">
      <c r="A181" s="11">
        <v>178</v>
      </c>
      <c r="B181" s="11" t="s">
        <v>401</v>
      </c>
      <c r="C181" s="11" t="s">
        <v>431</v>
      </c>
      <c r="D181" s="14" t="s">
        <v>434</v>
      </c>
      <c r="E181" s="13" t="s">
        <v>435</v>
      </c>
      <c r="F181" s="11" t="s">
        <v>13</v>
      </c>
      <c r="G181" s="11"/>
    </row>
    <row r="182" customHeight="1" spans="1:7">
      <c r="A182" s="11">
        <v>179</v>
      </c>
      <c r="B182" s="11" t="s">
        <v>401</v>
      </c>
      <c r="C182" s="11" t="s">
        <v>256</v>
      </c>
      <c r="D182" s="14" t="s">
        <v>436</v>
      </c>
      <c r="E182" s="13" t="s">
        <v>437</v>
      </c>
      <c r="F182" s="11" t="s">
        <v>13</v>
      </c>
      <c r="G182" s="11"/>
    </row>
    <row r="183" customHeight="1" spans="1:7">
      <c r="A183" s="11">
        <v>180</v>
      </c>
      <c r="B183" s="11" t="s">
        <v>401</v>
      </c>
      <c r="C183" s="11" t="s">
        <v>256</v>
      </c>
      <c r="D183" s="14" t="s">
        <v>438</v>
      </c>
      <c r="E183" s="13" t="s">
        <v>439</v>
      </c>
      <c r="F183" s="11" t="s">
        <v>13</v>
      </c>
      <c r="G183" s="11"/>
    </row>
    <row r="184" customHeight="1" spans="1:7">
      <c r="A184" s="11">
        <v>181</v>
      </c>
      <c r="B184" s="11" t="s">
        <v>401</v>
      </c>
      <c r="C184" s="11" t="s">
        <v>383</v>
      </c>
      <c r="D184" s="14" t="s">
        <v>440</v>
      </c>
      <c r="E184" s="13" t="s">
        <v>441</v>
      </c>
      <c r="F184" s="11" t="s">
        <v>13</v>
      </c>
      <c r="G184" s="11"/>
    </row>
    <row r="185" customHeight="1" spans="1:7">
      <c r="A185" s="11">
        <v>182</v>
      </c>
      <c r="B185" s="11" t="s">
        <v>442</v>
      </c>
      <c r="C185" s="11" t="s">
        <v>443</v>
      </c>
      <c r="D185" s="14" t="s">
        <v>444</v>
      </c>
      <c r="E185" s="13" t="s">
        <v>445</v>
      </c>
      <c r="F185" s="11" t="s">
        <v>13</v>
      </c>
      <c r="G185" s="11"/>
    </row>
    <row r="186" customHeight="1" spans="1:7">
      <c r="A186" s="11">
        <v>183</v>
      </c>
      <c r="B186" s="11" t="s">
        <v>442</v>
      </c>
      <c r="C186" s="11" t="s">
        <v>443</v>
      </c>
      <c r="D186" s="14" t="s">
        <v>446</v>
      </c>
      <c r="E186" s="13" t="s">
        <v>447</v>
      </c>
      <c r="F186" s="11" t="s">
        <v>13</v>
      </c>
      <c r="G186" s="11"/>
    </row>
    <row r="187" customHeight="1" spans="1:7">
      <c r="A187" s="11">
        <v>184</v>
      </c>
      <c r="B187" s="11" t="s">
        <v>442</v>
      </c>
      <c r="C187" s="11" t="s">
        <v>443</v>
      </c>
      <c r="D187" s="14" t="s">
        <v>448</v>
      </c>
      <c r="E187" s="13" t="s">
        <v>449</v>
      </c>
      <c r="F187" s="11" t="s">
        <v>13</v>
      </c>
      <c r="G187" s="11"/>
    </row>
    <row r="188" customHeight="1" spans="1:7">
      <c r="A188" s="11">
        <v>185</v>
      </c>
      <c r="B188" s="11" t="s">
        <v>442</v>
      </c>
      <c r="C188" s="11" t="s">
        <v>260</v>
      </c>
      <c r="D188" s="14" t="s">
        <v>450</v>
      </c>
      <c r="E188" s="13" t="s">
        <v>451</v>
      </c>
      <c r="F188" s="11" t="s">
        <v>13</v>
      </c>
      <c r="G188" s="11"/>
    </row>
    <row r="189" customHeight="1" spans="1:7">
      <c r="A189" s="11">
        <v>186</v>
      </c>
      <c r="B189" s="11" t="s">
        <v>442</v>
      </c>
      <c r="C189" s="11" t="s">
        <v>260</v>
      </c>
      <c r="D189" s="14" t="s">
        <v>452</v>
      </c>
      <c r="E189" s="13" t="s">
        <v>453</v>
      </c>
      <c r="F189" s="11" t="s">
        <v>13</v>
      </c>
      <c r="G189" s="11"/>
    </row>
    <row r="190" customHeight="1" spans="1:7">
      <c r="A190" s="11">
        <v>187</v>
      </c>
      <c r="B190" s="11" t="s">
        <v>442</v>
      </c>
      <c r="C190" s="11" t="s">
        <v>454</v>
      </c>
      <c r="D190" s="14" t="s">
        <v>455</v>
      </c>
      <c r="E190" s="13" t="s">
        <v>456</v>
      </c>
      <c r="F190" s="11" t="s">
        <v>13</v>
      </c>
      <c r="G190" s="11"/>
    </row>
    <row r="191" customHeight="1" spans="1:7">
      <c r="A191" s="11">
        <v>188</v>
      </c>
      <c r="B191" s="11" t="s">
        <v>442</v>
      </c>
      <c r="C191" s="11" t="s">
        <v>454</v>
      </c>
      <c r="D191" s="14" t="s">
        <v>457</v>
      </c>
      <c r="E191" s="13" t="s">
        <v>458</v>
      </c>
      <c r="F191" s="11" t="s">
        <v>13</v>
      </c>
      <c r="G191" s="11"/>
    </row>
    <row r="192" customHeight="1" spans="1:7">
      <c r="A192" s="11">
        <v>189</v>
      </c>
      <c r="B192" s="11" t="s">
        <v>442</v>
      </c>
      <c r="C192" s="11" t="s">
        <v>454</v>
      </c>
      <c r="D192" s="14" t="s">
        <v>459</v>
      </c>
      <c r="E192" s="13" t="s">
        <v>460</v>
      </c>
      <c r="F192" s="11" t="s">
        <v>13</v>
      </c>
      <c r="G192" s="11"/>
    </row>
    <row r="193" customHeight="1" spans="1:7">
      <c r="A193" s="11">
        <v>190</v>
      </c>
      <c r="B193" s="11" t="s">
        <v>442</v>
      </c>
      <c r="C193" s="11" t="s">
        <v>343</v>
      </c>
      <c r="D193" s="14" t="s">
        <v>461</v>
      </c>
      <c r="E193" s="13" t="s">
        <v>462</v>
      </c>
      <c r="F193" s="11" t="s">
        <v>13</v>
      </c>
      <c r="G193" s="11"/>
    </row>
    <row r="194" customHeight="1" spans="1:7">
      <c r="A194" s="11">
        <v>191</v>
      </c>
      <c r="B194" s="11" t="s">
        <v>442</v>
      </c>
      <c r="C194" s="11" t="s">
        <v>348</v>
      </c>
      <c r="D194" s="14" t="s">
        <v>463</v>
      </c>
      <c r="E194" s="13" t="s">
        <v>464</v>
      </c>
      <c r="F194" s="11" t="s">
        <v>13</v>
      </c>
      <c r="G194" s="11"/>
    </row>
    <row r="195" customHeight="1" spans="1:7">
      <c r="A195" s="11">
        <v>192</v>
      </c>
      <c r="B195" s="11" t="s">
        <v>442</v>
      </c>
      <c r="C195" s="11" t="s">
        <v>348</v>
      </c>
      <c r="D195" s="14" t="s">
        <v>465</v>
      </c>
      <c r="E195" s="13" t="s">
        <v>466</v>
      </c>
      <c r="F195" s="11" t="s">
        <v>13</v>
      </c>
      <c r="G195" s="11"/>
    </row>
    <row r="196" customHeight="1" spans="1:7">
      <c r="A196" s="11">
        <v>193</v>
      </c>
      <c r="B196" s="11" t="s">
        <v>442</v>
      </c>
      <c r="C196" s="11" t="s">
        <v>348</v>
      </c>
      <c r="D196" s="14" t="s">
        <v>467</v>
      </c>
      <c r="E196" s="13" t="s">
        <v>468</v>
      </c>
      <c r="F196" s="11" t="s">
        <v>13</v>
      </c>
      <c r="G196" s="11"/>
    </row>
    <row r="197" customHeight="1" spans="1:7">
      <c r="A197" s="11">
        <v>194</v>
      </c>
      <c r="B197" s="11" t="s">
        <v>442</v>
      </c>
      <c r="C197" s="11" t="s">
        <v>469</v>
      </c>
      <c r="D197" s="14" t="s">
        <v>470</v>
      </c>
      <c r="E197" s="13" t="s">
        <v>471</v>
      </c>
      <c r="F197" s="11" t="s">
        <v>13</v>
      </c>
      <c r="G197" s="11"/>
    </row>
    <row r="198" customHeight="1" spans="1:7">
      <c r="A198" s="11">
        <v>195</v>
      </c>
      <c r="B198" s="11" t="s">
        <v>442</v>
      </c>
      <c r="C198" s="11" t="s">
        <v>472</v>
      </c>
      <c r="D198" s="14" t="s">
        <v>473</v>
      </c>
      <c r="E198" s="13" t="s">
        <v>474</v>
      </c>
      <c r="F198" s="11" t="s">
        <v>13</v>
      </c>
      <c r="G198" s="11"/>
    </row>
    <row r="199" customHeight="1" spans="1:7">
      <c r="A199" s="11">
        <v>196</v>
      </c>
      <c r="B199" s="11" t="s">
        <v>442</v>
      </c>
      <c r="C199" s="11" t="s">
        <v>475</v>
      </c>
      <c r="D199" s="14" t="s">
        <v>476</v>
      </c>
      <c r="E199" s="13" t="s">
        <v>477</v>
      </c>
      <c r="F199" s="11" t="s">
        <v>13</v>
      </c>
      <c r="G199" s="11"/>
    </row>
    <row r="200" customHeight="1" spans="1:7">
      <c r="A200" s="11">
        <v>197</v>
      </c>
      <c r="B200" s="11" t="s">
        <v>442</v>
      </c>
      <c r="C200" s="11" t="s">
        <v>478</v>
      </c>
      <c r="D200" s="14" t="s">
        <v>479</v>
      </c>
      <c r="E200" s="13" t="s">
        <v>480</v>
      </c>
      <c r="F200" s="11" t="s">
        <v>13</v>
      </c>
      <c r="G200" s="11"/>
    </row>
    <row r="201" customHeight="1" spans="1:7">
      <c r="A201" s="11">
        <v>198</v>
      </c>
      <c r="B201" s="11" t="s">
        <v>442</v>
      </c>
      <c r="C201" s="11" t="s">
        <v>478</v>
      </c>
      <c r="D201" s="14" t="s">
        <v>481</v>
      </c>
      <c r="E201" s="13" t="s">
        <v>482</v>
      </c>
      <c r="F201" s="11" t="s">
        <v>13</v>
      </c>
      <c r="G201" s="11"/>
    </row>
    <row r="202" customHeight="1" spans="1:7">
      <c r="A202" s="11">
        <v>199</v>
      </c>
      <c r="B202" s="11" t="s">
        <v>442</v>
      </c>
      <c r="C202" s="11" t="s">
        <v>357</v>
      </c>
      <c r="D202" s="14" t="s">
        <v>483</v>
      </c>
      <c r="E202" s="13" t="s">
        <v>484</v>
      </c>
      <c r="F202" s="11" t="s">
        <v>13</v>
      </c>
      <c r="G202" s="11"/>
    </row>
    <row r="203" customHeight="1" spans="1:7">
      <c r="A203" s="11">
        <v>200</v>
      </c>
      <c r="B203" s="11" t="s">
        <v>442</v>
      </c>
      <c r="C203" s="11" t="s">
        <v>360</v>
      </c>
      <c r="D203" s="14" t="s">
        <v>485</v>
      </c>
      <c r="E203" s="13" t="s">
        <v>486</v>
      </c>
      <c r="F203" s="15" t="s">
        <v>326</v>
      </c>
      <c r="G203" s="11" t="s">
        <v>327</v>
      </c>
    </row>
    <row r="204" customHeight="1" spans="1:7">
      <c r="A204" s="11">
        <v>201</v>
      </c>
      <c r="B204" s="11" t="s">
        <v>442</v>
      </c>
      <c r="C204" s="11" t="s">
        <v>360</v>
      </c>
      <c r="D204" s="14" t="s">
        <v>487</v>
      </c>
      <c r="E204" s="13" t="s">
        <v>488</v>
      </c>
      <c r="F204" s="15" t="s">
        <v>326</v>
      </c>
      <c r="G204" s="11" t="s">
        <v>327</v>
      </c>
    </row>
    <row r="205" s="1" customFormat="1" customHeight="1" spans="1:7">
      <c r="A205" s="11">
        <v>202</v>
      </c>
      <c r="B205" s="11" t="s">
        <v>442</v>
      </c>
      <c r="C205" s="11" t="s">
        <v>360</v>
      </c>
      <c r="D205" s="11" t="s">
        <v>489</v>
      </c>
      <c r="E205" s="13" t="s">
        <v>490</v>
      </c>
      <c r="F205" s="11" t="s">
        <v>13</v>
      </c>
      <c r="G205" s="11" t="s">
        <v>330</v>
      </c>
    </row>
    <row r="206" s="1" customFormat="1" customHeight="1" spans="1:7">
      <c r="A206" s="11">
        <v>203</v>
      </c>
      <c r="B206" s="11" t="s">
        <v>442</v>
      </c>
      <c r="C206" s="11" t="s">
        <v>360</v>
      </c>
      <c r="D206" s="11" t="s">
        <v>491</v>
      </c>
      <c r="E206" s="13" t="s">
        <v>492</v>
      </c>
      <c r="F206" s="11" t="s">
        <v>13</v>
      </c>
      <c r="G206" s="11" t="s">
        <v>330</v>
      </c>
    </row>
    <row r="207" s="1" customFormat="1" customHeight="1" spans="1:7">
      <c r="A207" s="11">
        <v>204</v>
      </c>
      <c r="B207" s="11" t="s">
        <v>442</v>
      </c>
      <c r="C207" s="11" t="s">
        <v>363</v>
      </c>
      <c r="D207" s="14" t="s">
        <v>493</v>
      </c>
      <c r="E207" s="13" t="s">
        <v>494</v>
      </c>
      <c r="F207" s="11" t="s">
        <v>266</v>
      </c>
      <c r="G207" s="11"/>
    </row>
    <row r="208" customHeight="1" spans="1:7">
      <c r="A208" s="11">
        <v>205</v>
      </c>
      <c r="B208" s="11" t="s">
        <v>442</v>
      </c>
      <c r="C208" s="11" t="s">
        <v>363</v>
      </c>
      <c r="D208" s="14" t="s">
        <v>495</v>
      </c>
      <c r="E208" s="13" t="s">
        <v>496</v>
      </c>
      <c r="F208" s="11" t="s">
        <v>13</v>
      </c>
      <c r="G208" s="11"/>
    </row>
    <row r="209" s="1" customFormat="1" customHeight="1" spans="1:7">
      <c r="A209" s="11">
        <v>206</v>
      </c>
      <c r="B209" s="11" t="s">
        <v>442</v>
      </c>
      <c r="C209" s="11" t="s">
        <v>363</v>
      </c>
      <c r="D209" s="14" t="s">
        <v>497</v>
      </c>
      <c r="E209" s="13" t="s">
        <v>498</v>
      </c>
      <c r="F209" s="11" t="s">
        <v>266</v>
      </c>
      <c r="G209" s="11"/>
    </row>
    <row r="210" customHeight="1" spans="1:7">
      <c r="A210" s="11">
        <v>207</v>
      </c>
      <c r="B210" s="11" t="s">
        <v>442</v>
      </c>
      <c r="C210" s="11" t="s">
        <v>363</v>
      </c>
      <c r="D210" s="14" t="s">
        <v>499</v>
      </c>
      <c r="E210" s="13" t="s">
        <v>500</v>
      </c>
      <c r="F210" s="11" t="s">
        <v>13</v>
      </c>
      <c r="G210" s="11"/>
    </row>
    <row r="211" customHeight="1" spans="1:7">
      <c r="A211" s="11">
        <v>208</v>
      </c>
      <c r="B211" s="11" t="s">
        <v>442</v>
      </c>
      <c r="C211" s="11" t="s">
        <v>501</v>
      </c>
      <c r="D211" s="14" t="s">
        <v>502</v>
      </c>
      <c r="E211" s="13" t="s">
        <v>503</v>
      </c>
      <c r="F211" s="11" t="s">
        <v>13</v>
      </c>
      <c r="G211" s="11"/>
    </row>
    <row r="212" customHeight="1" spans="1:7">
      <c r="A212" s="11">
        <v>209</v>
      </c>
      <c r="B212" s="11" t="s">
        <v>442</v>
      </c>
      <c r="C212" s="11" t="s">
        <v>501</v>
      </c>
      <c r="D212" s="14" t="s">
        <v>504</v>
      </c>
      <c r="E212" s="13" t="s">
        <v>505</v>
      </c>
      <c r="F212" s="11" t="s">
        <v>13</v>
      </c>
      <c r="G212" s="11"/>
    </row>
    <row r="213" customHeight="1" spans="1:7">
      <c r="A213" s="11">
        <v>210</v>
      </c>
      <c r="B213" s="11" t="s">
        <v>442</v>
      </c>
      <c r="C213" s="11" t="s">
        <v>506</v>
      </c>
      <c r="D213" s="14" t="s">
        <v>507</v>
      </c>
      <c r="E213" s="13" t="s">
        <v>508</v>
      </c>
      <c r="F213" s="11" t="s">
        <v>13</v>
      </c>
      <c r="G213" s="11"/>
    </row>
    <row r="214" customHeight="1" spans="1:7">
      <c r="A214" s="11">
        <v>211</v>
      </c>
      <c r="B214" s="11" t="s">
        <v>442</v>
      </c>
      <c r="C214" s="11" t="s">
        <v>506</v>
      </c>
      <c r="D214" s="14" t="s">
        <v>509</v>
      </c>
      <c r="E214" s="13" t="s">
        <v>510</v>
      </c>
      <c r="F214" s="11" t="s">
        <v>13</v>
      </c>
      <c r="G214" s="11"/>
    </row>
    <row r="215" customHeight="1" spans="1:7">
      <c r="A215" s="11">
        <v>212</v>
      </c>
      <c r="B215" s="11" t="s">
        <v>442</v>
      </c>
      <c r="C215" s="11" t="s">
        <v>506</v>
      </c>
      <c r="D215" s="14" t="s">
        <v>511</v>
      </c>
      <c r="E215" s="13" t="s">
        <v>512</v>
      </c>
      <c r="F215" s="11" t="s">
        <v>13</v>
      </c>
      <c r="G215" s="11"/>
    </row>
    <row r="216" customHeight="1" spans="1:7">
      <c r="A216" s="11">
        <v>213</v>
      </c>
      <c r="B216" s="11" t="s">
        <v>442</v>
      </c>
      <c r="C216" s="11" t="s">
        <v>506</v>
      </c>
      <c r="D216" s="14" t="s">
        <v>513</v>
      </c>
      <c r="E216" s="13" t="s">
        <v>514</v>
      </c>
      <c r="F216" s="11" t="s">
        <v>13</v>
      </c>
      <c r="G216" s="11"/>
    </row>
    <row r="217" customHeight="1" spans="1:7">
      <c r="A217" s="11">
        <v>214</v>
      </c>
      <c r="B217" s="11" t="s">
        <v>442</v>
      </c>
      <c r="C217" s="11" t="s">
        <v>515</v>
      </c>
      <c r="D217" s="14" t="s">
        <v>516</v>
      </c>
      <c r="E217" s="13" t="s">
        <v>517</v>
      </c>
      <c r="F217" s="15" t="s">
        <v>326</v>
      </c>
      <c r="G217" s="11" t="s">
        <v>327</v>
      </c>
    </row>
    <row r="218" customHeight="1" spans="1:7">
      <c r="A218" s="11">
        <v>215</v>
      </c>
      <c r="B218" s="11" t="s">
        <v>442</v>
      </c>
      <c r="C218" s="11" t="s">
        <v>515</v>
      </c>
      <c r="D218" s="14" t="s">
        <v>518</v>
      </c>
      <c r="E218" s="13" t="s">
        <v>519</v>
      </c>
      <c r="F218" s="15" t="s">
        <v>326</v>
      </c>
      <c r="G218" s="11" t="s">
        <v>327</v>
      </c>
    </row>
    <row r="219" customHeight="1" spans="1:7">
      <c r="A219" s="11">
        <v>216</v>
      </c>
      <c r="B219" s="11" t="s">
        <v>442</v>
      </c>
      <c r="C219" s="11" t="s">
        <v>515</v>
      </c>
      <c r="D219" s="11" t="s">
        <v>520</v>
      </c>
      <c r="E219" s="16" t="s">
        <v>521</v>
      </c>
      <c r="F219" s="11" t="s">
        <v>13</v>
      </c>
      <c r="G219" s="11" t="s">
        <v>330</v>
      </c>
    </row>
    <row r="220" customHeight="1" spans="1:7">
      <c r="A220" s="11">
        <v>217</v>
      </c>
      <c r="B220" s="11" t="s">
        <v>442</v>
      </c>
      <c r="C220" s="11" t="s">
        <v>515</v>
      </c>
      <c r="D220" s="11" t="s">
        <v>522</v>
      </c>
      <c r="E220" s="16" t="s">
        <v>523</v>
      </c>
      <c r="F220" s="11" t="s">
        <v>13</v>
      </c>
      <c r="G220" s="11" t="s">
        <v>330</v>
      </c>
    </row>
    <row r="221" customHeight="1" spans="1:7">
      <c r="A221" s="11">
        <v>218</v>
      </c>
      <c r="B221" s="11" t="s">
        <v>442</v>
      </c>
      <c r="C221" s="11" t="s">
        <v>18</v>
      </c>
      <c r="D221" s="14" t="s">
        <v>524</v>
      </c>
      <c r="E221" s="13" t="s">
        <v>525</v>
      </c>
      <c r="F221" s="11" t="s">
        <v>13</v>
      </c>
      <c r="G221" s="11"/>
    </row>
    <row r="222" customHeight="1" spans="1:7">
      <c r="A222" s="11">
        <v>219</v>
      </c>
      <c r="B222" s="11" t="s">
        <v>442</v>
      </c>
      <c r="C222" s="11" t="s">
        <v>18</v>
      </c>
      <c r="D222" s="14" t="s">
        <v>526</v>
      </c>
      <c r="E222" s="13" t="s">
        <v>527</v>
      </c>
      <c r="F222" s="15" t="s">
        <v>326</v>
      </c>
      <c r="G222" s="11" t="s">
        <v>327</v>
      </c>
    </row>
    <row r="223" customHeight="1" spans="1:7">
      <c r="A223" s="11">
        <v>220</v>
      </c>
      <c r="B223" s="11" t="s">
        <v>442</v>
      </c>
      <c r="C223" s="11" t="s">
        <v>18</v>
      </c>
      <c r="D223" s="14" t="s">
        <v>528</v>
      </c>
      <c r="E223" s="13" t="s">
        <v>529</v>
      </c>
      <c r="F223" s="11" t="s">
        <v>13</v>
      </c>
      <c r="G223" s="11"/>
    </row>
    <row r="224" customHeight="1" spans="1:7">
      <c r="A224" s="11">
        <v>221</v>
      </c>
      <c r="B224" s="11" t="s">
        <v>442</v>
      </c>
      <c r="C224" s="11" t="s">
        <v>18</v>
      </c>
      <c r="D224" s="14" t="s">
        <v>530</v>
      </c>
      <c r="E224" s="13" t="s">
        <v>531</v>
      </c>
      <c r="F224" s="11" t="s">
        <v>13</v>
      </c>
      <c r="G224" s="11"/>
    </row>
    <row r="225" customHeight="1" spans="1:7">
      <c r="A225" s="11">
        <v>222</v>
      </c>
      <c r="B225" s="11" t="s">
        <v>442</v>
      </c>
      <c r="C225" s="11" t="s">
        <v>18</v>
      </c>
      <c r="D225" s="11" t="s">
        <v>532</v>
      </c>
      <c r="E225" s="13" t="s">
        <v>533</v>
      </c>
      <c r="F225" s="15" t="s">
        <v>326</v>
      </c>
      <c r="G225" s="11" t="s">
        <v>534</v>
      </c>
    </row>
    <row r="226" customHeight="1" spans="1:7">
      <c r="A226" s="11">
        <v>223</v>
      </c>
      <c r="B226" s="11" t="s">
        <v>442</v>
      </c>
      <c r="C226" s="11" t="s">
        <v>18</v>
      </c>
      <c r="D226" s="11" t="s">
        <v>535</v>
      </c>
      <c r="E226" s="13" t="s">
        <v>536</v>
      </c>
      <c r="F226" s="11" t="s">
        <v>13</v>
      </c>
      <c r="G226" s="11" t="s">
        <v>330</v>
      </c>
    </row>
    <row r="227" customHeight="1" spans="1:7">
      <c r="A227" s="11">
        <v>224</v>
      </c>
      <c r="B227" s="11" t="s">
        <v>442</v>
      </c>
      <c r="C227" s="11" t="s">
        <v>23</v>
      </c>
      <c r="D227" s="14" t="s">
        <v>537</v>
      </c>
      <c r="E227" s="13" t="s">
        <v>538</v>
      </c>
      <c r="F227" s="11" t="s">
        <v>13</v>
      </c>
      <c r="G227" s="11"/>
    </row>
    <row r="228" customHeight="1" spans="1:7">
      <c r="A228" s="11">
        <v>225</v>
      </c>
      <c r="B228" s="11" t="s">
        <v>442</v>
      </c>
      <c r="C228" s="11" t="s">
        <v>23</v>
      </c>
      <c r="D228" s="14" t="s">
        <v>539</v>
      </c>
      <c r="E228" s="13" t="s">
        <v>540</v>
      </c>
      <c r="F228" s="11" t="s">
        <v>13</v>
      </c>
      <c r="G228" s="11"/>
    </row>
    <row r="229" customHeight="1" spans="1:7">
      <c r="A229" s="11">
        <v>226</v>
      </c>
      <c r="B229" s="11" t="s">
        <v>442</v>
      </c>
      <c r="C229" s="11" t="s">
        <v>23</v>
      </c>
      <c r="D229" s="14" t="s">
        <v>541</v>
      </c>
      <c r="E229" s="13" t="s">
        <v>542</v>
      </c>
      <c r="F229" s="11" t="s">
        <v>13</v>
      </c>
      <c r="G229" s="11"/>
    </row>
    <row r="230" customHeight="1" spans="1:7">
      <c r="A230" s="11">
        <v>227</v>
      </c>
      <c r="B230" s="11" t="s">
        <v>442</v>
      </c>
      <c r="C230" s="11" t="s">
        <v>23</v>
      </c>
      <c r="D230" s="14" t="s">
        <v>543</v>
      </c>
      <c r="E230" s="13" t="s">
        <v>544</v>
      </c>
      <c r="F230" s="11" t="s">
        <v>13</v>
      </c>
      <c r="G230" s="11"/>
    </row>
    <row r="231" customHeight="1" spans="1:7">
      <c r="A231" s="11">
        <v>228</v>
      </c>
      <c r="B231" s="11" t="s">
        <v>442</v>
      </c>
      <c r="C231" s="11" t="s">
        <v>29</v>
      </c>
      <c r="D231" s="14" t="s">
        <v>545</v>
      </c>
      <c r="E231" s="13" t="s">
        <v>546</v>
      </c>
      <c r="F231" s="11" t="s">
        <v>13</v>
      </c>
      <c r="G231" s="11"/>
    </row>
    <row r="232" customHeight="1" spans="1:7">
      <c r="A232" s="11">
        <v>229</v>
      </c>
      <c r="B232" s="11" t="s">
        <v>442</v>
      </c>
      <c r="C232" s="11" t="s">
        <v>29</v>
      </c>
      <c r="D232" s="14" t="s">
        <v>547</v>
      </c>
      <c r="E232" s="13" t="s">
        <v>548</v>
      </c>
      <c r="F232" s="11" t="s">
        <v>13</v>
      </c>
      <c r="G232" s="11"/>
    </row>
    <row r="233" customHeight="1" spans="1:7">
      <c r="A233" s="11">
        <v>230</v>
      </c>
      <c r="B233" s="11" t="s">
        <v>442</v>
      </c>
      <c r="C233" s="11" t="s">
        <v>140</v>
      </c>
      <c r="D233" s="14" t="s">
        <v>549</v>
      </c>
      <c r="E233" s="13" t="s">
        <v>550</v>
      </c>
      <c r="F233" s="11" t="s">
        <v>13</v>
      </c>
      <c r="G233" s="11"/>
    </row>
    <row r="234" customHeight="1" spans="1:7">
      <c r="A234" s="11">
        <v>231</v>
      </c>
      <c r="B234" s="11" t="s">
        <v>442</v>
      </c>
      <c r="C234" s="11" t="s">
        <v>140</v>
      </c>
      <c r="D234" s="14" t="s">
        <v>551</v>
      </c>
      <c r="E234" s="13" t="s">
        <v>552</v>
      </c>
      <c r="F234" s="11" t="s">
        <v>13</v>
      </c>
      <c r="G234" s="11"/>
    </row>
    <row r="235" customHeight="1" spans="1:7">
      <c r="A235" s="11">
        <v>232</v>
      </c>
      <c r="B235" s="11" t="s">
        <v>442</v>
      </c>
      <c r="C235" s="11" t="s">
        <v>44</v>
      </c>
      <c r="D235" s="14" t="s">
        <v>553</v>
      </c>
      <c r="E235" s="13" t="s">
        <v>554</v>
      </c>
      <c r="F235" s="11" t="s">
        <v>13</v>
      </c>
      <c r="G235" s="11"/>
    </row>
    <row r="236" customHeight="1" spans="1:7">
      <c r="A236" s="11">
        <v>233</v>
      </c>
      <c r="B236" s="11" t="s">
        <v>442</v>
      </c>
      <c r="C236" s="11" t="s">
        <v>44</v>
      </c>
      <c r="D236" s="14" t="s">
        <v>555</v>
      </c>
      <c r="E236" s="13" t="s">
        <v>556</v>
      </c>
      <c r="F236" s="11" t="s">
        <v>13</v>
      </c>
      <c r="G236" s="11"/>
    </row>
    <row r="237" customHeight="1" spans="1:7">
      <c r="A237" s="11">
        <v>234</v>
      </c>
      <c r="B237" s="11" t="s">
        <v>442</v>
      </c>
      <c r="C237" s="11" t="s">
        <v>44</v>
      </c>
      <c r="D237" s="14" t="s">
        <v>557</v>
      </c>
      <c r="E237" s="13" t="s">
        <v>558</v>
      </c>
      <c r="F237" s="11" t="s">
        <v>13</v>
      </c>
      <c r="G237" s="11"/>
    </row>
    <row r="238" customHeight="1" spans="1:7">
      <c r="A238" s="11">
        <v>235</v>
      </c>
      <c r="B238" s="11" t="s">
        <v>442</v>
      </c>
      <c r="C238" s="11" t="s">
        <v>44</v>
      </c>
      <c r="D238" s="14" t="s">
        <v>559</v>
      </c>
      <c r="E238" s="13" t="s">
        <v>560</v>
      </c>
      <c r="F238" s="11" t="s">
        <v>13</v>
      </c>
      <c r="G238" s="11"/>
    </row>
    <row r="239" customHeight="1" spans="1:7">
      <c r="A239" s="11">
        <v>236</v>
      </c>
      <c r="B239" s="11" t="s">
        <v>442</v>
      </c>
      <c r="C239" s="11" t="s">
        <v>51</v>
      </c>
      <c r="D239" s="14" t="s">
        <v>561</v>
      </c>
      <c r="E239" s="13" t="s">
        <v>562</v>
      </c>
      <c r="F239" s="11" t="s">
        <v>13</v>
      </c>
      <c r="G239" s="11"/>
    </row>
    <row r="240" customHeight="1" spans="1:7">
      <c r="A240" s="11">
        <v>237</v>
      </c>
      <c r="B240" s="11" t="s">
        <v>442</v>
      </c>
      <c r="C240" s="11" t="s">
        <v>51</v>
      </c>
      <c r="D240" s="14" t="s">
        <v>563</v>
      </c>
      <c r="E240" s="13" t="s">
        <v>564</v>
      </c>
      <c r="F240" s="11" t="s">
        <v>13</v>
      </c>
      <c r="G240" s="11"/>
    </row>
    <row r="241" customHeight="1" spans="1:7">
      <c r="A241" s="11">
        <v>238</v>
      </c>
      <c r="B241" s="11" t="s">
        <v>442</v>
      </c>
      <c r="C241" s="11" t="s">
        <v>51</v>
      </c>
      <c r="D241" s="14" t="s">
        <v>565</v>
      </c>
      <c r="E241" s="13" t="s">
        <v>566</v>
      </c>
      <c r="F241" s="11" t="s">
        <v>13</v>
      </c>
      <c r="G241" s="11"/>
    </row>
    <row r="242" customHeight="1" spans="1:7">
      <c r="A242" s="11">
        <v>239</v>
      </c>
      <c r="B242" s="11" t="s">
        <v>442</v>
      </c>
      <c r="C242" s="11" t="s">
        <v>51</v>
      </c>
      <c r="D242" s="14" t="s">
        <v>567</v>
      </c>
      <c r="E242" s="13" t="s">
        <v>568</v>
      </c>
      <c r="F242" s="11" t="s">
        <v>13</v>
      </c>
      <c r="G242" s="11"/>
    </row>
    <row r="243" customHeight="1" spans="1:7">
      <c r="A243" s="11">
        <v>240</v>
      </c>
      <c r="B243" s="11" t="s">
        <v>442</v>
      </c>
      <c r="C243" s="11" t="s">
        <v>51</v>
      </c>
      <c r="D243" s="14" t="s">
        <v>569</v>
      </c>
      <c r="E243" s="13" t="s">
        <v>570</v>
      </c>
      <c r="F243" s="11" t="s">
        <v>13</v>
      </c>
      <c r="G243" s="11"/>
    </row>
    <row r="244" customHeight="1" spans="1:7">
      <c r="A244" s="11">
        <v>241</v>
      </c>
      <c r="B244" s="11" t="s">
        <v>442</v>
      </c>
      <c r="C244" s="11" t="s">
        <v>571</v>
      </c>
      <c r="D244" s="14" t="s">
        <v>572</v>
      </c>
      <c r="E244" s="13" t="s">
        <v>573</v>
      </c>
      <c r="F244" s="11" t="s">
        <v>13</v>
      </c>
      <c r="G244" s="11"/>
    </row>
    <row r="245" customHeight="1" spans="1:7">
      <c r="A245" s="11">
        <v>242</v>
      </c>
      <c r="B245" s="11" t="s">
        <v>442</v>
      </c>
      <c r="C245" s="11" t="s">
        <v>571</v>
      </c>
      <c r="D245" s="14" t="s">
        <v>574</v>
      </c>
      <c r="E245" s="13" t="s">
        <v>575</v>
      </c>
      <c r="F245" s="11" t="s">
        <v>13</v>
      </c>
      <c r="G245" s="11"/>
    </row>
    <row r="246" customHeight="1" spans="1:7">
      <c r="A246" s="11">
        <v>243</v>
      </c>
      <c r="B246" s="11" t="s">
        <v>442</v>
      </c>
      <c r="C246" s="11" t="s">
        <v>571</v>
      </c>
      <c r="D246" s="14" t="s">
        <v>576</v>
      </c>
      <c r="E246" s="13" t="s">
        <v>577</v>
      </c>
      <c r="F246" s="11" t="s">
        <v>13</v>
      </c>
      <c r="G246" s="11"/>
    </row>
    <row r="247" customHeight="1" spans="1:7">
      <c r="A247" s="11">
        <v>244</v>
      </c>
      <c r="B247" s="11" t="s">
        <v>442</v>
      </c>
      <c r="C247" s="11" t="s">
        <v>571</v>
      </c>
      <c r="D247" s="14" t="s">
        <v>578</v>
      </c>
      <c r="E247" s="13" t="s">
        <v>579</v>
      </c>
      <c r="F247" s="11" t="s">
        <v>13</v>
      </c>
      <c r="G247" s="11"/>
    </row>
    <row r="248" customHeight="1" spans="1:7">
      <c r="A248" s="11">
        <v>245</v>
      </c>
      <c r="B248" s="11" t="s">
        <v>442</v>
      </c>
      <c r="C248" s="11" t="s">
        <v>66</v>
      </c>
      <c r="D248" s="14" t="s">
        <v>580</v>
      </c>
      <c r="E248" s="13" t="s">
        <v>581</v>
      </c>
      <c r="F248" s="11" t="s">
        <v>13</v>
      </c>
      <c r="G248" s="11"/>
    </row>
    <row r="249" customHeight="1" spans="1:7">
      <c r="A249" s="11">
        <v>246</v>
      </c>
      <c r="B249" s="11" t="s">
        <v>442</v>
      </c>
      <c r="C249" s="11" t="s">
        <v>66</v>
      </c>
      <c r="D249" s="14" t="s">
        <v>582</v>
      </c>
      <c r="E249" s="13" t="s">
        <v>583</v>
      </c>
      <c r="F249" s="11" t="s">
        <v>13</v>
      </c>
      <c r="G249" s="11"/>
    </row>
    <row r="250" customHeight="1" spans="1:7">
      <c r="A250" s="11">
        <v>247</v>
      </c>
      <c r="B250" s="11" t="s">
        <v>442</v>
      </c>
      <c r="C250" s="11" t="s">
        <v>69</v>
      </c>
      <c r="D250" s="14" t="s">
        <v>584</v>
      </c>
      <c r="E250" s="13" t="s">
        <v>585</v>
      </c>
      <c r="F250" s="11" t="s">
        <v>13</v>
      </c>
      <c r="G250" s="11"/>
    </row>
    <row r="251" customHeight="1" spans="1:7">
      <c r="A251" s="11">
        <v>248</v>
      </c>
      <c r="B251" s="11" t="s">
        <v>442</v>
      </c>
      <c r="C251" s="11" t="s">
        <v>165</v>
      </c>
      <c r="D251" s="14" t="s">
        <v>586</v>
      </c>
      <c r="E251" s="13" t="s">
        <v>587</v>
      </c>
      <c r="F251" s="11" t="s">
        <v>13</v>
      </c>
      <c r="G251" s="11"/>
    </row>
    <row r="252" customHeight="1" spans="1:7">
      <c r="A252" s="11">
        <v>249</v>
      </c>
      <c r="B252" s="11" t="s">
        <v>442</v>
      </c>
      <c r="C252" s="11" t="s">
        <v>82</v>
      </c>
      <c r="D252" s="14" t="s">
        <v>588</v>
      </c>
      <c r="E252" s="13" t="s">
        <v>589</v>
      </c>
      <c r="F252" s="11" t="s">
        <v>13</v>
      </c>
      <c r="G252" s="11"/>
    </row>
    <row r="253" customHeight="1" spans="1:7">
      <c r="A253" s="11">
        <v>250</v>
      </c>
      <c r="B253" s="11" t="s">
        <v>442</v>
      </c>
      <c r="C253" s="11" t="s">
        <v>89</v>
      </c>
      <c r="D253" s="14" t="s">
        <v>590</v>
      </c>
      <c r="E253" s="13" t="s">
        <v>591</v>
      </c>
      <c r="F253" s="11" t="s">
        <v>13</v>
      </c>
      <c r="G253" s="11"/>
    </row>
    <row r="254" customHeight="1" spans="1:7">
      <c r="A254" s="11">
        <v>251</v>
      </c>
      <c r="B254" s="11" t="s">
        <v>442</v>
      </c>
      <c r="C254" s="11" t="s">
        <v>89</v>
      </c>
      <c r="D254" s="14" t="s">
        <v>592</v>
      </c>
      <c r="E254" s="13" t="s">
        <v>593</v>
      </c>
      <c r="F254" s="11" t="s">
        <v>13</v>
      </c>
      <c r="G254" s="11"/>
    </row>
    <row r="255" customHeight="1" spans="1:7">
      <c r="A255" s="11">
        <v>252</v>
      </c>
      <c r="B255" s="11" t="s">
        <v>442</v>
      </c>
      <c r="C255" s="11" t="s">
        <v>108</v>
      </c>
      <c r="D255" s="14" t="s">
        <v>594</v>
      </c>
      <c r="E255" s="13" t="s">
        <v>595</v>
      </c>
      <c r="F255" s="11" t="s">
        <v>13</v>
      </c>
      <c r="G255" s="11"/>
    </row>
    <row r="256" customHeight="1" spans="1:7">
      <c r="A256" s="11">
        <v>253</v>
      </c>
      <c r="B256" s="11" t="s">
        <v>442</v>
      </c>
      <c r="C256" s="11" t="s">
        <v>108</v>
      </c>
      <c r="D256" s="14" t="s">
        <v>596</v>
      </c>
      <c r="E256" s="13" t="s">
        <v>597</v>
      </c>
      <c r="F256" s="11" t="s">
        <v>13</v>
      </c>
      <c r="G256" s="11"/>
    </row>
    <row r="257" customHeight="1" spans="1:7">
      <c r="A257" s="11">
        <v>254</v>
      </c>
      <c r="B257" s="11" t="s">
        <v>442</v>
      </c>
      <c r="C257" s="11" t="s">
        <v>108</v>
      </c>
      <c r="D257" s="14" t="s">
        <v>598</v>
      </c>
      <c r="E257" s="13" t="s">
        <v>599</v>
      </c>
      <c r="F257" s="11" t="s">
        <v>13</v>
      </c>
      <c r="G257" s="11"/>
    </row>
    <row r="258" customHeight="1" spans="1:7">
      <c r="A258" s="11">
        <v>255</v>
      </c>
      <c r="B258" s="11" t="s">
        <v>442</v>
      </c>
      <c r="C258" s="11" t="s">
        <v>108</v>
      </c>
      <c r="D258" s="14" t="s">
        <v>600</v>
      </c>
      <c r="E258" s="13" t="s">
        <v>601</v>
      </c>
      <c r="F258" s="11" t="s">
        <v>13</v>
      </c>
      <c r="G258" s="11"/>
    </row>
    <row r="259" customHeight="1" spans="1:7">
      <c r="A259" s="11">
        <v>256</v>
      </c>
      <c r="B259" s="11" t="s">
        <v>442</v>
      </c>
      <c r="C259" s="11" t="s">
        <v>108</v>
      </c>
      <c r="D259" s="14" t="s">
        <v>602</v>
      </c>
      <c r="E259" s="13" t="s">
        <v>603</v>
      </c>
      <c r="F259" s="11" t="s">
        <v>13</v>
      </c>
      <c r="G259" s="11"/>
    </row>
    <row r="260" customHeight="1" spans="1:7">
      <c r="A260" s="11">
        <v>257</v>
      </c>
      <c r="B260" s="11" t="s">
        <v>442</v>
      </c>
      <c r="C260" s="11" t="s">
        <v>108</v>
      </c>
      <c r="D260" s="14" t="s">
        <v>604</v>
      </c>
      <c r="E260" s="13" t="s">
        <v>605</v>
      </c>
      <c r="F260" s="11" t="s">
        <v>13</v>
      </c>
      <c r="G260" s="11"/>
    </row>
    <row r="261" customHeight="1" spans="1:7">
      <c r="A261" s="11">
        <v>258</v>
      </c>
      <c r="B261" s="11" t="s">
        <v>442</v>
      </c>
      <c r="C261" s="11" t="s">
        <v>108</v>
      </c>
      <c r="D261" s="14" t="s">
        <v>606</v>
      </c>
      <c r="E261" s="13" t="s">
        <v>607</v>
      </c>
      <c r="F261" s="11" t="s">
        <v>13</v>
      </c>
      <c r="G261" s="11"/>
    </row>
    <row r="262" customHeight="1" spans="1:7">
      <c r="A262" s="11">
        <v>259</v>
      </c>
      <c r="B262" s="11" t="s">
        <v>442</v>
      </c>
      <c r="C262" s="11" t="s">
        <v>115</v>
      </c>
      <c r="D262" s="14" t="s">
        <v>608</v>
      </c>
      <c r="E262" s="13" t="s">
        <v>609</v>
      </c>
      <c r="F262" s="11" t="s">
        <v>13</v>
      </c>
      <c r="G262" s="11"/>
    </row>
    <row r="263" customHeight="1" spans="1:7">
      <c r="A263" s="11">
        <v>260</v>
      </c>
      <c r="B263" s="11" t="s">
        <v>442</v>
      </c>
      <c r="C263" s="11" t="s">
        <v>115</v>
      </c>
      <c r="D263" s="14" t="s">
        <v>610</v>
      </c>
      <c r="E263" s="13" t="s">
        <v>611</v>
      </c>
      <c r="F263" s="11" t="s">
        <v>13</v>
      </c>
      <c r="G263" s="11"/>
    </row>
    <row r="264" customHeight="1" spans="1:7">
      <c r="A264" s="11">
        <v>261</v>
      </c>
      <c r="B264" s="11" t="s">
        <v>442</v>
      </c>
      <c r="C264" s="11" t="s">
        <v>115</v>
      </c>
      <c r="D264" s="14" t="s">
        <v>612</v>
      </c>
      <c r="E264" s="13" t="s">
        <v>613</v>
      </c>
      <c r="F264" s="11" t="s">
        <v>13</v>
      </c>
      <c r="G264" s="11"/>
    </row>
    <row r="265" customHeight="1" spans="1:7">
      <c r="A265" s="11">
        <v>262</v>
      </c>
      <c r="B265" s="11" t="s">
        <v>442</v>
      </c>
      <c r="C265" s="11" t="s">
        <v>115</v>
      </c>
      <c r="D265" s="14" t="s">
        <v>614</v>
      </c>
      <c r="E265" s="13" t="s">
        <v>615</v>
      </c>
      <c r="F265" s="11" t="s">
        <v>13</v>
      </c>
      <c r="G265" s="11"/>
    </row>
    <row r="266" customHeight="1" spans="1:7">
      <c r="A266" s="11">
        <v>263</v>
      </c>
      <c r="B266" s="11" t="s">
        <v>442</v>
      </c>
      <c r="C266" s="11" t="s">
        <v>115</v>
      </c>
      <c r="D266" s="14" t="s">
        <v>616</v>
      </c>
      <c r="E266" s="13" t="s">
        <v>617</v>
      </c>
      <c r="F266" s="11" t="s">
        <v>13</v>
      </c>
      <c r="G266" s="11"/>
    </row>
    <row r="267" customHeight="1" spans="1:7">
      <c r="A267" s="11">
        <v>264</v>
      </c>
      <c r="B267" s="11" t="s">
        <v>442</v>
      </c>
      <c r="C267" s="11" t="s">
        <v>206</v>
      </c>
      <c r="D267" s="14" t="s">
        <v>618</v>
      </c>
      <c r="E267" s="13" t="s">
        <v>619</v>
      </c>
      <c r="F267" s="11" t="s">
        <v>13</v>
      </c>
      <c r="G267" s="11"/>
    </row>
    <row r="268" customHeight="1" spans="1:7">
      <c r="A268" s="11">
        <v>265</v>
      </c>
      <c r="B268" s="11" t="s">
        <v>442</v>
      </c>
      <c r="C268" s="11" t="s">
        <v>206</v>
      </c>
      <c r="D268" s="14" t="s">
        <v>620</v>
      </c>
      <c r="E268" s="13" t="s">
        <v>621</v>
      </c>
      <c r="F268" s="11" t="s">
        <v>13</v>
      </c>
      <c r="G268" s="11"/>
    </row>
    <row r="269" customHeight="1" spans="1:7">
      <c r="A269" s="11">
        <v>266</v>
      </c>
      <c r="B269" s="11" t="s">
        <v>442</v>
      </c>
      <c r="C269" s="11" t="s">
        <v>206</v>
      </c>
      <c r="D269" s="14" t="s">
        <v>622</v>
      </c>
      <c r="E269" s="13" t="s">
        <v>623</v>
      </c>
      <c r="F269" s="11" t="s">
        <v>13</v>
      </c>
      <c r="G269" s="11"/>
    </row>
    <row r="270" customHeight="1" spans="1:7">
      <c r="A270" s="11">
        <v>267</v>
      </c>
      <c r="B270" s="11" t="s">
        <v>442</v>
      </c>
      <c r="C270" s="11" t="s">
        <v>206</v>
      </c>
      <c r="D270" s="14" t="s">
        <v>624</v>
      </c>
      <c r="E270" s="13" t="s">
        <v>625</v>
      </c>
      <c r="F270" s="11" t="s">
        <v>13</v>
      </c>
      <c r="G270" s="11"/>
    </row>
    <row r="271" customHeight="1" spans="1:7">
      <c r="A271" s="11">
        <v>268</v>
      </c>
      <c r="B271" s="11" t="s">
        <v>442</v>
      </c>
      <c r="C271" s="11" t="s">
        <v>206</v>
      </c>
      <c r="D271" s="14" t="s">
        <v>626</v>
      </c>
      <c r="E271" s="13" t="s">
        <v>627</v>
      </c>
      <c r="F271" s="11" t="s">
        <v>13</v>
      </c>
      <c r="G271" s="11"/>
    </row>
    <row r="272" customHeight="1" spans="1:7">
      <c r="A272" s="11">
        <v>269</v>
      </c>
      <c r="B272" s="11" t="s">
        <v>442</v>
      </c>
      <c r="C272" s="11" t="s">
        <v>628</v>
      </c>
      <c r="D272" s="14" t="s">
        <v>629</v>
      </c>
      <c r="E272" s="13" t="s">
        <v>630</v>
      </c>
      <c r="F272" s="11" t="s">
        <v>13</v>
      </c>
      <c r="G272" s="11"/>
    </row>
    <row r="273" customHeight="1" spans="1:7">
      <c r="A273" s="11">
        <v>270</v>
      </c>
      <c r="B273" s="11" t="s">
        <v>442</v>
      </c>
      <c r="C273" s="11" t="s">
        <v>628</v>
      </c>
      <c r="D273" s="14" t="s">
        <v>631</v>
      </c>
      <c r="E273" s="13" t="s">
        <v>632</v>
      </c>
      <c r="F273" s="11" t="s">
        <v>13</v>
      </c>
      <c r="G273" s="11"/>
    </row>
    <row r="274" customHeight="1" spans="1:7">
      <c r="A274" s="11">
        <v>271</v>
      </c>
      <c r="B274" s="11" t="s">
        <v>442</v>
      </c>
      <c r="C274" s="11" t="s">
        <v>628</v>
      </c>
      <c r="D274" s="14" t="s">
        <v>633</v>
      </c>
      <c r="E274" s="13" t="s">
        <v>634</v>
      </c>
      <c r="F274" s="11" t="s">
        <v>13</v>
      </c>
      <c r="G274" s="11"/>
    </row>
    <row r="275" customHeight="1" spans="1:7">
      <c r="A275" s="11">
        <v>272</v>
      </c>
      <c r="B275" s="11" t="s">
        <v>442</v>
      </c>
      <c r="C275" s="11" t="s">
        <v>628</v>
      </c>
      <c r="D275" s="14" t="s">
        <v>635</v>
      </c>
      <c r="E275" s="13" t="s">
        <v>636</v>
      </c>
      <c r="F275" s="11" t="s">
        <v>13</v>
      </c>
      <c r="G275" s="11"/>
    </row>
    <row r="276" customHeight="1" spans="1:7">
      <c r="A276" s="11">
        <v>273</v>
      </c>
      <c r="B276" s="11" t="s">
        <v>442</v>
      </c>
      <c r="C276" s="11" t="s">
        <v>628</v>
      </c>
      <c r="D276" s="14" t="s">
        <v>637</v>
      </c>
      <c r="E276" s="13" t="s">
        <v>638</v>
      </c>
      <c r="F276" s="11" t="s">
        <v>13</v>
      </c>
      <c r="G276" s="11"/>
    </row>
    <row r="277" customHeight="1" spans="1:7">
      <c r="A277" s="11">
        <v>274</v>
      </c>
      <c r="B277" s="11" t="s">
        <v>639</v>
      </c>
      <c r="C277" s="11" t="s">
        <v>260</v>
      </c>
      <c r="D277" s="14" t="s">
        <v>640</v>
      </c>
      <c r="E277" s="13" t="s">
        <v>641</v>
      </c>
      <c r="F277" s="11" t="s">
        <v>13</v>
      </c>
      <c r="G277" s="11"/>
    </row>
    <row r="278" customHeight="1" spans="1:7">
      <c r="A278" s="11">
        <v>275</v>
      </c>
      <c r="B278" s="11" t="s">
        <v>639</v>
      </c>
      <c r="C278" s="11" t="s">
        <v>642</v>
      </c>
      <c r="D278" s="14" t="s">
        <v>643</v>
      </c>
      <c r="E278" s="13" t="s">
        <v>644</v>
      </c>
      <c r="F278" s="11" t="s">
        <v>13</v>
      </c>
      <c r="G278" s="11"/>
    </row>
    <row r="279" customHeight="1" spans="1:7">
      <c r="A279" s="11">
        <v>276</v>
      </c>
      <c r="B279" s="11" t="s">
        <v>639</v>
      </c>
      <c r="C279" s="11" t="s">
        <v>263</v>
      </c>
      <c r="D279" s="14" t="s">
        <v>645</v>
      </c>
      <c r="E279" s="13" t="s">
        <v>646</v>
      </c>
      <c r="F279" s="11" t="s">
        <v>13</v>
      </c>
      <c r="G279" s="11"/>
    </row>
    <row r="280" customHeight="1" spans="1:7">
      <c r="A280" s="11">
        <v>277</v>
      </c>
      <c r="B280" s="11" t="s">
        <v>639</v>
      </c>
      <c r="C280" s="11" t="s">
        <v>263</v>
      </c>
      <c r="D280" s="14" t="s">
        <v>647</v>
      </c>
      <c r="E280" s="13" t="s">
        <v>648</v>
      </c>
      <c r="F280" s="11" t="s">
        <v>13</v>
      </c>
      <c r="G280" s="11"/>
    </row>
    <row r="281" customHeight="1" spans="1:7">
      <c r="A281" s="11">
        <v>278</v>
      </c>
      <c r="B281" s="11" t="s">
        <v>639</v>
      </c>
      <c r="C281" s="11" t="s">
        <v>263</v>
      </c>
      <c r="D281" s="14" t="s">
        <v>649</v>
      </c>
      <c r="E281" s="13" t="s">
        <v>650</v>
      </c>
      <c r="F281" s="11" t="s">
        <v>13</v>
      </c>
      <c r="G281" s="11"/>
    </row>
    <row r="282" customHeight="1" spans="1:7">
      <c r="A282" s="11">
        <v>279</v>
      </c>
      <c r="B282" s="11" t="s">
        <v>639</v>
      </c>
      <c r="C282" s="11" t="s">
        <v>331</v>
      </c>
      <c r="D282" s="14" t="s">
        <v>651</v>
      </c>
      <c r="E282" s="13" t="s">
        <v>652</v>
      </c>
      <c r="F282" s="11" t="s">
        <v>13</v>
      </c>
      <c r="G282" s="11"/>
    </row>
    <row r="283" customHeight="1" spans="1:7">
      <c r="A283" s="11">
        <v>280</v>
      </c>
      <c r="B283" s="11" t="s">
        <v>639</v>
      </c>
      <c r="C283" s="11" t="s">
        <v>247</v>
      </c>
      <c r="D283" s="14" t="s">
        <v>653</v>
      </c>
      <c r="E283" s="13" t="s">
        <v>654</v>
      </c>
      <c r="F283" s="11" t="s">
        <v>13</v>
      </c>
      <c r="G283" s="11"/>
    </row>
    <row r="284" customHeight="1" spans="1:7">
      <c r="A284" s="11">
        <v>281</v>
      </c>
      <c r="B284" s="11" t="s">
        <v>639</v>
      </c>
      <c r="C284" s="11" t="s">
        <v>247</v>
      </c>
      <c r="D284" s="14" t="s">
        <v>655</v>
      </c>
      <c r="E284" s="13" t="s">
        <v>656</v>
      </c>
      <c r="F284" s="11" t="s">
        <v>13</v>
      </c>
      <c r="G284" s="11"/>
    </row>
    <row r="285" customHeight="1" spans="1:7">
      <c r="A285" s="11">
        <v>282</v>
      </c>
      <c r="B285" s="11" t="s">
        <v>639</v>
      </c>
      <c r="C285" s="11" t="s">
        <v>247</v>
      </c>
      <c r="D285" s="14" t="s">
        <v>657</v>
      </c>
      <c r="E285" s="13" t="s">
        <v>658</v>
      </c>
      <c r="F285" s="11" t="s">
        <v>13</v>
      </c>
      <c r="G285" s="11"/>
    </row>
    <row r="286" customHeight="1" spans="1:7">
      <c r="A286" s="11">
        <v>283</v>
      </c>
      <c r="B286" s="11" t="s">
        <v>639</v>
      </c>
      <c r="C286" s="11" t="s">
        <v>272</v>
      </c>
      <c r="D286" s="14" t="s">
        <v>659</v>
      </c>
      <c r="E286" s="13" t="s">
        <v>660</v>
      </c>
      <c r="F286" s="11" t="s">
        <v>13</v>
      </c>
      <c r="G286" s="11"/>
    </row>
    <row r="287" customHeight="1" spans="1:7">
      <c r="A287" s="11">
        <v>284</v>
      </c>
      <c r="B287" s="11" t="s">
        <v>639</v>
      </c>
      <c r="C287" s="11" t="s">
        <v>272</v>
      </c>
      <c r="D287" s="14" t="s">
        <v>661</v>
      </c>
      <c r="E287" s="13" t="s">
        <v>662</v>
      </c>
      <c r="F287" s="11" t="s">
        <v>13</v>
      </c>
      <c r="G287" s="11"/>
    </row>
    <row r="288" customHeight="1" spans="1:7">
      <c r="A288" s="11">
        <v>285</v>
      </c>
      <c r="B288" s="11" t="s">
        <v>639</v>
      </c>
      <c r="C288" s="11" t="s">
        <v>272</v>
      </c>
      <c r="D288" s="14" t="s">
        <v>663</v>
      </c>
      <c r="E288" s="13" t="s">
        <v>664</v>
      </c>
      <c r="F288" s="15" t="s">
        <v>326</v>
      </c>
      <c r="G288" s="11" t="s">
        <v>327</v>
      </c>
    </row>
    <row r="289" customHeight="1" spans="1:7">
      <c r="A289" s="11">
        <v>286</v>
      </c>
      <c r="B289" s="11" t="s">
        <v>639</v>
      </c>
      <c r="C289" s="11" t="s">
        <v>272</v>
      </c>
      <c r="D289" s="14" t="s">
        <v>665</v>
      </c>
      <c r="E289" s="13" t="s">
        <v>666</v>
      </c>
      <c r="F289" s="11" t="s">
        <v>13</v>
      </c>
      <c r="G289" s="11"/>
    </row>
    <row r="290" customHeight="1" spans="1:7">
      <c r="A290" s="11">
        <v>287</v>
      </c>
      <c r="B290" s="11" t="s">
        <v>639</v>
      </c>
      <c r="C290" s="11" t="s">
        <v>272</v>
      </c>
      <c r="D290" s="11" t="s">
        <v>667</v>
      </c>
      <c r="E290" s="11" t="s">
        <v>668</v>
      </c>
      <c r="F290" s="11" t="s">
        <v>13</v>
      </c>
      <c r="G290" s="11" t="s">
        <v>330</v>
      </c>
    </row>
    <row r="291" customHeight="1" spans="1:7">
      <c r="A291" s="11">
        <v>288</v>
      </c>
      <c r="B291" s="11" t="s">
        <v>639</v>
      </c>
      <c r="C291" s="11" t="s">
        <v>515</v>
      </c>
      <c r="D291" s="14" t="s">
        <v>669</v>
      </c>
      <c r="E291" s="13" t="s">
        <v>670</v>
      </c>
      <c r="F291" s="11" t="s">
        <v>13</v>
      </c>
      <c r="G291" s="11"/>
    </row>
    <row r="292" customHeight="1" spans="1:7">
      <c r="A292" s="11">
        <v>289</v>
      </c>
      <c r="B292" s="11" t="s">
        <v>671</v>
      </c>
      <c r="C292" s="11" t="s">
        <v>253</v>
      </c>
      <c r="D292" s="14" t="s">
        <v>672</v>
      </c>
      <c r="E292" s="13" t="s">
        <v>673</v>
      </c>
      <c r="F292" s="11" t="s">
        <v>13</v>
      </c>
      <c r="G292" s="11"/>
    </row>
    <row r="293" customHeight="1" spans="1:7">
      <c r="A293" s="11">
        <v>290</v>
      </c>
      <c r="B293" s="11" t="s">
        <v>671</v>
      </c>
      <c r="C293" s="11" t="s">
        <v>431</v>
      </c>
      <c r="D293" s="14" t="s">
        <v>674</v>
      </c>
      <c r="E293" s="13" t="s">
        <v>675</v>
      </c>
      <c r="F293" s="11" t="s">
        <v>13</v>
      </c>
      <c r="G293" s="11"/>
    </row>
    <row r="294" customHeight="1" spans="1:7">
      <c r="A294" s="11">
        <v>291</v>
      </c>
      <c r="B294" s="11" t="s">
        <v>671</v>
      </c>
      <c r="C294" s="11" t="s">
        <v>256</v>
      </c>
      <c r="D294" s="14" t="s">
        <v>676</v>
      </c>
      <c r="E294" s="13" t="s">
        <v>677</v>
      </c>
      <c r="F294" s="11" t="s">
        <v>13</v>
      </c>
      <c r="G294" s="11"/>
    </row>
    <row r="295" customHeight="1" spans="1:7">
      <c r="A295" s="11">
        <v>292</v>
      </c>
      <c r="B295" s="11" t="s">
        <v>678</v>
      </c>
      <c r="C295" s="11" t="s">
        <v>263</v>
      </c>
      <c r="D295" s="14" t="s">
        <v>679</v>
      </c>
      <c r="E295" s="13" t="s">
        <v>680</v>
      </c>
      <c r="F295" s="11" t="s">
        <v>13</v>
      </c>
      <c r="G295" s="11"/>
    </row>
    <row r="296" customHeight="1" spans="1:7">
      <c r="A296" s="11">
        <v>293</v>
      </c>
      <c r="B296" s="11" t="s">
        <v>678</v>
      </c>
      <c r="C296" s="11" t="s">
        <v>331</v>
      </c>
      <c r="D296" s="14" t="s">
        <v>681</v>
      </c>
      <c r="E296" s="13" t="s">
        <v>682</v>
      </c>
      <c r="F296" s="11" t="s">
        <v>13</v>
      </c>
      <c r="G296" s="11"/>
    </row>
    <row r="297" customHeight="1" spans="1:7">
      <c r="A297" s="11">
        <v>294</v>
      </c>
      <c r="B297" s="11" t="s">
        <v>678</v>
      </c>
      <c r="C297" s="11" t="s">
        <v>267</v>
      </c>
      <c r="D297" s="14" t="s">
        <v>683</v>
      </c>
      <c r="E297" s="13" t="s">
        <v>684</v>
      </c>
      <c r="F297" s="11" t="s">
        <v>13</v>
      </c>
      <c r="G297" s="11"/>
    </row>
    <row r="298" customHeight="1" spans="1:7">
      <c r="A298" s="11">
        <v>295</v>
      </c>
      <c r="B298" s="11" t="s">
        <v>678</v>
      </c>
      <c r="C298" s="11" t="s">
        <v>515</v>
      </c>
      <c r="D298" s="14" t="s">
        <v>685</v>
      </c>
      <c r="E298" s="13" t="s">
        <v>686</v>
      </c>
      <c r="F298" s="11" t="s">
        <v>13</v>
      </c>
      <c r="G298" s="11"/>
    </row>
    <row r="299" customHeight="1" spans="1:7">
      <c r="A299" s="11">
        <v>296</v>
      </c>
      <c r="B299" s="11" t="s">
        <v>678</v>
      </c>
      <c r="C299" s="11" t="s">
        <v>18</v>
      </c>
      <c r="D299" s="14" t="s">
        <v>687</v>
      </c>
      <c r="E299" s="13" t="s">
        <v>688</v>
      </c>
      <c r="F299" s="11" t="s">
        <v>13</v>
      </c>
      <c r="G299" s="11"/>
    </row>
    <row r="300" customHeight="1" spans="1:7">
      <c r="A300" s="11">
        <v>297</v>
      </c>
      <c r="B300" s="11" t="s">
        <v>678</v>
      </c>
      <c r="C300" s="11" t="s">
        <v>29</v>
      </c>
      <c r="D300" s="14" t="s">
        <v>689</v>
      </c>
      <c r="E300" s="13" t="s">
        <v>690</v>
      </c>
      <c r="F300" s="11" t="s">
        <v>13</v>
      </c>
      <c r="G300" s="11"/>
    </row>
    <row r="301" customHeight="1" spans="1:7">
      <c r="A301" s="11">
        <v>298</v>
      </c>
      <c r="B301" s="11" t="s">
        <v>678</v>
      </c>
      <c r="C301" s="11" t="s">
        <v>44</v>
      </c>
      <c r="D301" s="14" t="s">
        <v>691</v>
      </c>
      <c r="E301" s="13" t="s">
        <v>692</v>
      </c>
      <c r="F301" s="11" t="s">
        <v>13</v>
      </c>
      <c r="G301" s="11"/>
    </row>
    <row r="302" customHeight="1" spans="1:7">
      <c r="A302" s="11">
        <v>299</v>
      </c>
      <c r="B302" s="11" t="s">
        <v>678</v>
      </c>
      <c r="C302" s="11" t="s">
        <v>51</v>
      </c>
      <c r="D302" s="14" t="s">
        <v>693</v>
      </c>
      <c r="E302" s="13" t="s">
        <v>694</v>
      </c>
      <c r="F302" s="11" t="s">
        <v>13</v>
      </c>
      <c r="G302" s="11"/>
    </row>
    <row r="303" customHeight="1" spans="1:7">
      <c r="A303" s="11">
        <v>300</v>
      </c>
      <c r="B303" s="11" t="s">
        <v>678</v>
      </c>
      <c r="C303" s="11" t="s">
        <v>51</v>
      </c>
      <c r="D303" s="14" t="s">
        <v>695</v>
      </c>
      <c r="E303" s="13" t="s">
        <v>696</v>
      </c>
      <c r="F303" s="11" t="s">
        <v>13</v>
      </c>
      <c r="G303" s="11"/>
    </row>
    <row r="304" customHeight="1" spans="1:7">
      <c r="A304" s="11">
        <v>301</v>
      </c>
      <c r="B304" s="11" t="s">
        <v>678</v>
      </c>
      <c r="C304" s="11" t="s">
        <v>697</v>
      </c>
      <c r="D304" s="14" t="s">
        <v>698</v>
      </c>
      <c r="E304" s="13" t="s">
        <v>699</v>
      </c>
      <c r="F304" s="11" t="s">
        <v>13</v>
      </c>
      <c r="G304" s="11"/>
    </row>
    <row r="305" customHeight="1" spans="1:7">
      <c r="A305" s="11">
        <v>302</v>
      </c>
      <c r="B305" s="11" t="s">
        <v>678</v>
      </c>
      <c r="C305" s="11" t="s">
        <v>108</v>
      </c>
      <c r="D305" s="14" t="s">
        <v>700</v>
      </c>
      <c r="E305" s="13" t="s">
        <v>701</v>
      </c>
      <c r="F305" s="11" t="s">
        <v>13</v>
      </c>
      <c r="G305" s="11"/>
    </row>
    <row r="306" customHeight="1" spans="1:7">
      <c r="A306" s="11">
        <v>303</v>
      </c>
      <c r="B306" s="11" t="s">
        <v>678</v>
      </c>
      <c r="C306" s="11" t="s">
        <v>115</v>
      </c>
      <c r="D306" s="14" t="s">
        <v>702</v>
      </c>
      <c r="E306" s="13" t="s">
        <v>703</v>
      </c>
      <c r="F306" s="11" t="s">
        <v>13</v>
      </c>
      <c r="G306" s="11"/>
    </row>
    <row r="307" customHeight="1" spans="1:7">
      <c r="A307" s="11">
        <v>304</v>
      </c>
      <c r="B307" s="11" t="s">
        <v>678</v>
      </c>
      <c r="C307" s="11" t="s">
        <v>115</v>
      </c>
      <c r="D307" s="14" t="s">
        <v>704</v>
      </c>
      <c r="E307" s="13" t="s">
        <v>705</v>
      </c>
      <c r="F307" s="11" t="s">
        <v>13</v>
      </c>
      <c r="G307" s="11"/>
    </row>
    <row r="308" customHeight="1" spans="1:7">
      <c r="A308" s="11">
        <v>305</v>
      </c>
      <c r="B308" s="11" t="s">
        <v>678</v>
      </c>
      <c r="C308" s="11" t="s">
        <v>115</v>
      </c>
      <c r="D308" s="14" t="s">
        <v>706</v>
      </c>
      <c r="E308" s="13" t="s">
        <v>707</v>
      </c>
      <c r="F308" s="11" t="s">
        <v>13</v>
      </c>
      <c r="G308" s="11"/>
    </row>
    <row r="309" customHeight="1" spans="1:7">
      <c r="A309" s="11">
        <v>306</v>
      </c>
      <c r="B309" s="11" t="s">
        <v>708</v>
      </c>
      <c r="C309" s="11" t="s">
        <v>709</v>
      </c>
      <c r="D309" s="14" t="s">
        <v>710</v>
      </c>
      <c r="E309" s="13" t="s">
        <v>711</v>
      </c>
      <c r="F309" s="11" t="s">
        <v>13</v>
      </c>
      <c r="G309" s="11"/>
    </row>
    <row r="310" customHeight="1" spans="1:7">
      <c r="A310" s="11">
        <v>307</v>
      </c>
      <c r="B310" s="11" t="s">
        <v>708</v>
      </c>
      <c r="C310" s="11" t="s">
        <v>712</v>
      </c>
      <c r="D310" s="14" t="s">
        <v>713</v>
      </c>
      <c r="E310" s="13" t="s">
        <v>714</v>
      </c>
      <c r="F310" s="11" t="s">
        <v>13</v>
      </c>
      <c r="G310" s="11"/>
    </row>
    <row r="311" customHeight="1" spans="1:7">
      <c r="A311" s="11">
        <v>308</v>
      </c>
      <c r="B311" s="11" t="s">
        <v>715</v>
      </c>
      <c r="C311" s="11" t="s">
        <v>716</v>
      </c>
      <c r="D311" s="14" t="s">
        <v>717</v>
      </c>
      <c r="E311" s="13" t="s">
        <v>718</v>
      </c>
      <c r="F311" s="11" t="s">
        <v>13</v>
      </c>
      <c r="G311" s="11"/>
    </row>
    <row r="312" customHeight="1" spans="1:7">
      <c r="A312" s="11">
        <v>309</v>
      </c>
      <c r="B312" s="11" t="s">
        <v>715</v>
      </c>
      <c r="C312" s="11" t="s">
        <v>263</v>
      </c>
      <c r="D312" s="14" t="s">
        <v>719</v>
      </c>
      <c r="E312" s="13" t="s">
        <v>720</v>
      </c>
      <c r="F312" s="11" t="s">
        <v>13</v>
      </c>
      <c r="G312" s="11"/>
    </row>
    <row r="313" customHeight="1" spans="1:7">
      <c r="A313" s="11">
        <v>310</v>
      </c>
      <c r="B313" s="11" t="s">
        <v>715</v>
      </c>
      <c r="C313" s="11" t="s">
        <v>263</v>
      </c>
      <c r="D313" s="14" t="s">
        <v>721</v>
      </c>
      <c r="E313" s="13" t="s">
        <v>722</v>
      </c>
      <c r="F313" s="11" t="s">
        <v>13</v>
      </c>
      <c r="G313" s="11"/>
    </row>
    <row r="314" customHeight="1" spans="1:7">
      <c r="A314" s="11">
        <v>311</v>
      </c>
      <c r="B314" s="11" t="s">
        <v>715</v>
      </c>
      <c r="C314" s="11" t="s">
        <v>357</v>
      </c>
      <c r="D314" s="14" t="s">
        <v>723</v>
      </c>
      <c r="E314" s="13" t="s">
        <v>724</v>
      </c>
      <c r="F314" s="11" t="s">
        <v>13</v>
      </c>
      <c r="G314" s="11"/>
    </row>
    <row r="315" customHeight="1" spans="1:7">
      <c r="A315" s="11">
        <v>312</v>
      </c>
      <c r="B315" s="11" t="s">
        <v>715</v>
      </c>
      <c r="C315" s="11" t="s">
        <v>383</v>
      </c>
      <c r="D315" s="14" t="s">
        <v>725</v>
      </c>
      <c r="E315" s="13" t="s">
        <v>726</v>
      </c>
      <c r="F315" s="11" t="s">
        <v>13</v>
      </c>
      <c r="G315" s="11"/>
    </row>
    <row r="316" customHeight="1" spans="1:7">
      <c r="A316" s="11">
        <v>313</v>
      </c>
      <c r="B316" s="11" t="s">
        <v>715</v>
      </c>
      <c r="C316" s="11" t="s">
        <v>383</v>
      </c>
      <c r="D316" s="14" t="s">
        <v>727</v>
      </c>
      <c r="E316" s="13" t="s">
        <v>728</v>
      </c>
      <c r="F316" s="15" t="s">
        <v>326</v>
      </c>
      <c r="G316" s="11" t="s">
        <v>327</v>
      </c>
    </row>
    <row r="317" customHeight="1" spans="1:7">
      <c r="A317" s="11">
        <v>314</v>
      </c>
      <c r="B317" s="11" t="s">
        <v>715</v>
      </c>
      <c r="C317" s="11" t="s">
        <v>383</v>
      </c>
      <c r="D317" s="11" t="s">
        <v>729</v>
      </c>
      <c r="E317" s="13" t="s">
        <v>730</v>
      </c>
      <c r="F317" s="11" t="s">
        <v>13</v>
      </c>
      <c r="G317" s="11" t="s">
        <v>330</v>
      </c>
    </row>
    <row r="318" customHeight="1" spans="1:7">
      <c r="A318" s="11">
        <v>315</v>
      </c>
      <c r="B318" s="11" t="s">
        <v>715</v>
      </c>
      <c r="C318" s="11" t="s">
        <v>383</v>
      </c>
      <c r="D318" s="14" t="s">
        <v>731</v>
      </c>
      <c r="E318" s="13" t="s">
        <v>732</v>
      </c>
      <c r="F318" s="11" t="s">
        <v>13</v>
      </c>
      <c r="G318" s="11"/>
    </row>
    <row r="319" customHeight="1" spans="1:7">
      <c r="A319" s="11">
        <v>316</v>
      </c>
      <c r="B319" s="11" t="s">
        <v>733</v>
      </c>
      <c r="C319" s="11" t="s">
        <v>135</v>
      </c>
      <c r="D319" s="14" t="s">
        <v>734</v>
      </c>
      <c r="E319" s="13" t="s">
        <v>735</v>
      </c>
      <c r="F319" s="11" t="s">
        <v>13</v>
      </c>
      <c r="G319" s="11"/>
    </row>
    <row r="320" customHeight="1" spans="1:7">
      <c r="A320" s="11">
        <v>317</v>
      </c>
      <c r="B320" s="11" t="s">
        <v>733</v>
      </c>
      <c r="C320" s="11" t="s">
        <v>135</v>
      </c>
      <c r="D320" s="14" t="s">
        <v>736</v>
      </c>
      <c r="E320" s="13" t="s">
        <v>737</v>
      </c>
      <c r="F320" s="11" t="s">
        <v>13</v>
      </c>
      <c r="G320" s="11"/>
    </row>
    <row r="321" customHeight="1" spans="1:7">
      <c r="A321" s="11">
        <v>318</v>
      </c>
      <c r="B321" s="11" t="s">
        <v>733</v>
      </c>
      <c r="C321" s="11" t="s">
        <v>29</v>
      </c>
      <c r="D321" s="14" t="s">
        <v>738</v>
      </c>
      <c r="E321" s="13" t="s">
        <v>739</v>
      </c>
      <c r="F321" s="11" t="s">
        <v>13</v>
      </c>
      <c r="G321" s="11"/>
    </row>
    <row r="322" customHeight="1" spans="1:7">
      <c r="A322" s="11">
        <v>319</v>
      </c>
      <c r="B322" s="11" t="s">
        <v>733</v>
      </c>
      <c r="C322" s="11" t="s">
        <v>29</v>
      </c>
      <c r="D322" s="14" t="s">
        <v>740</v>
      </c>
      <c r="E322" s="13" t="s">
        <v>741</v>
      </c>
      <c r="F322" s="11" t="s">
        <v>13</v>
      </c>
      <c r="G322" s="11"/>
    </row>
    <row r="323" customHeight="1" spans="1:7">
      <c r="A323" s="11">
        <v>320</v>
      </c>
      <c r="B323" s="11" t="s">
        <v>733</v>
      </c>
      <c r="C323" s="11" t="s">
        <v>29</v>
      </c>
      <c r="D323" s="14" t="s">
        <v>742</v>
      </c>
      <c r="E323" s="13" t="s">
        <v>743</v>
      </c>
      <c r="F323" s="11" t="s">
        <v>13</v>
      </c>
      <c r="G323" s="11"/>
    </row>
    <row r="324" customHeight="1" spans="1:7">
      <c r="A324" s="11">
        <v>321</v>
      </c>
      <c r="B324" s="11" t="s">
        <v>733</v>
      </c>
      <c r="C324" s="11" t="s">
        <v>29</v>
      </c>
      <c r="D324" s="14" t="s">
        <v>744</v>
      </c>
      <c r="E324" s="13" t="s">
        <v>745</v>
      </c>
      <c r="F324" s="11" t="s">
        <v>13</v>
      </c>
      <c r="G324" s="11"/>
    </row>
    <row r="325" customHeight="1" spans="1:7">
      <c r="A325" s="11">
        <v>322</v>
      </c>
      <c r="B325" s="11" t="s">
        <v>733</v>
      </c>
      <c r="C325" s="11" t="s">
        <v>228</v>
      </c>
      <c r="D325" s="14" t="s">
        <v>746</v>
      </c>
      <c r="E325" s="13" t="s">
        <v>747</v>
      </c>
      <c r="F325" s="11" t="s">
        <v>13</v>
      </c>
      <c r="G325" s="11"/>
    </row>
    <row r="326" customHeight="1" spans="1:7">
      <c r="A326" s="11">
        <v>323</v>
      </c>
      <c r="B326" s="11" t="s">
        <v>733</v>
      </c>
      <c r="C326" s="11" t="s">
        <v>748</v>
      </c>
      <c r="D326" s="14" t="s">
        <v>749</v>
      </c>
      <c r="E326" s="13" t="s">
        <v>750</v>
      </c>
      <c r="F326" s="11" t="s">
        <v>13</v>
      </c>
      <c r="G326" s="11"/>
    </row>
    <row r="327" customHeight="1" spans="1:7">
      <c r="A327" s="11">
        <v>324</v>
      </c>
      <c r="B327" s="11" t="s">
        <v>751</v>
      </c>
      <c r="C327" s="11" t="s">
        <v>443</v>
      </c>
      <c r="D327" s="14" t="s">
        <v>752</v>
      </c>
      <c r="E327" s="13" t="s">
        <v>753</v>
      </c>
      <c r="F327" s="11" t="s">
        <v>13</v>
      </c>
      <c r="G327" s="11"/>
    </row>
    <row r="328" customHeight="1" spans="1:7">
      <c r="A328" s="11">
        <v>325</v>
      </c>
      <c r="B328" s="11" t="s">
        <v>751</v>
      </c>
      <c r="C328" s="11" t="s">
        <v>754</v>
      </c>
      <c r="D328" s="14" t="s">
        <v>755</v>
      </c>
      <c r="E328" s="13" t="s">
        <v>756</v>
      </c>
      <c r="F328" s="11" t="s">
        <v>13</v>
      </c>
      <c r="G328" s="11"/>
    </row>
    <row r="329" customHeight="1" spans="1:7">
      <c r="A329" s="11">
        <v>326</v>
      </c>
      <c r="B329" s="11" t="s">
        <v>751</v>
      </c>
      <c r="C329" s="11" t="s">
        <v>757</v>
      </c>
      <c r="D329" s="14" t="s">
        <v>758</v>
      </c>
      <c r="E329" s="13" t="s">
        <v>759</v>
      </c>
      <c r="F329" s="11" t="s">
        <v>13</v>
      </c>
      <c r="G329" s="11"/>
    </row>
    <row r="330" customHeight="1" spans="1:7">
      <c r="A330" s="11">
        <v>327</v>
      </c>
      <c r="B330" s="11" t="s">
        <v>751</v>
      </c>
      <c r="C330" s="11" t="s">
        <v>260</v>
      </c>
      <c r="D330" s="14" t="s">
        <v>760</v>
      </c>
      <c r="E330" s="13" t="s">
        <v>761</v>
      </c>
      <c r="F330" s="11" t="s">
        <v>13</v>
      </c>
      <c r="G330" s="11"/>
    </row>
    <row r="331" customHeight="1" spans="1:7">
      <c r="A331" s="11">
        <v>328</v>
      </c>
      <c r="B331" s="11" t="s">
        <v>751</v>
      </c>
      <c r="C331" s="11" t="s">
        <v>454</v>
      </c>
      <c r="D331" s="14" t="s">
        <v>762</v>
      </c>
      <c r="E331" s="13" t="s">
        <v>763</v>
      </c>
      <c r="F331" s="11" t="s">
        <v>13</v>
      </c>
      <c r="G331" s="11"/>
    </row>
    <row r="332" customHeight="1" spans="1:7">
      <c r="A332" s="11">
        <v>329</v>
      </c>
      <c r="B332" s="11" t="s">
        <v>751</v>
      </c>
      <c r="C332" s="11" t="s">
        <v>343</v>
      </c>
      <c r="D332" s="14" t="s">
        <v>764</v>
      </c>
      <c r="E332" s="13" t="s">
        <v>765</v>
      </c>
      <c r="F332" s="11" t="s">
        <v>13</v>
      </c>
      <c r="G332" s="11"/>
    </row>
    <row r="333" customHeight="1" spans="1:7">
      <c r="A333" s="11">
        <v>330</v>
      </c>
      <c r="B333" s="11" t="s">
        <v>751</v>
      </c>
      <c r="C333" s="11" t="s">
        <v>343</v>
      </c>
      <c r="D333" s="14" t="s">
        <v>766</v>
      </c>
      <c r="E333" s="13" t="s">
        <v>767</v>
      </c>
      <c r="F333" s="11" t="s">
        <v>13</v>
      </c>
      <c r="G333" s="11"/>
    </row>
    <row r="334" customHeight="1" spans="1:7">
      <c r="A334" s="11">
        <v>331</v>
      </c>
      <c r="B334" s="11" t="s">
        <v>751</v>
      </c>
      <c r="C334" s="11" t="s">
        <v>348</v>
      </c>
      <c r="D334" s="14" t="s">
        <v>768</v>
      </c>
      <c r="E334" s="13" t="s">
        <v>769</v>
      </c>
      <c r="F334" s="11" t="s">
        <v>13</v>
      </c>
      <c r="G334" s="11"/>
    </row>
    <row r="335" customHeight="1" spans="1:7">
      <c r="A335" s="11">
        <v>332</v>
      </c>
      <c r="B335" s="11" t="s">
        <v>751</v>
      </c>
      <c r="C335" s="11" t="s">
        <v>348</v>
      </c>
      <c r="D335" s="14" t="s">
        <v>770</v>
      </c>
      <c r="E335" s="13" t="s">
        <v>771</v>
      </c>
      <c r="F335" s="11" t="s">
        <v>13</v>
      </c>
      <c r="G335" s="11"/>
    </row>
    <row r="336" customHeight="1" spans="1:7">
      <c r="A336" s="11">
        <v>333</v>
      </c>
      <c r="B336" s="11" t="s">
        <v>751</v>
      </c>
      <c r="C336" s="11" t="s">
        <v>469</v>
      </c>
      <c r="D336" s="14" t="s">
        <v>772</v>
      </c>
      <c r="E336" s="13" t="s">
        <v>773</v>
      </c>
      <c r="F336" s="11" t="s">
        <v>13</v>
      </c>
      <c r="G336" s="11"/>
    </row>
    <row r="337" customHeight="1" spans="1:7">
      <c r="A337" s="11">
        <v>334</v>
      </c>
      <c r="B337" s="11" t="s">
        <v>751</v>
      </c>
      <c r="C337" s="11" t="s">
        <v>472</v>
      </c>
      <c r="D337" s="14" t="s">
        <v>774</v>
      </c>
      <c r="E337" s="13" t="s">
        <v>775</v>
      </c>
      <c r="F337" s="11" t="s">
        <v>13</v>
      </c>
      <c r="G337" s="11"/>
    </row>
    <row r="338" customHeight="1" spans="1:7">
      <c r="A338" s="11">
        <v>335</v>
      </c>
      <c r="B338" s="11" t="s">
        <v>751</v>
      </c>
      <c r="C338" s="11" t="s">
        <v>267</v>
      </c>
      <c r="D338" s="14" t="s">
        <v>776</v>
      </c>
      <c r="E338" s="13" t="s">
        <v>777</v>
      </c>
      <c r="F338" s="11" t="s">
        <v>13</v>
      </c>
      <c r="G338" s="11"/>
    </row>
    <row r="339" customHeight="1" spans="1:7">
      <c r="A339" s="11">
        <v>336</v>
      </c>
      <c r="B339" s="11" t="s">
        <v>751</v>
      </c>
      <c r="C339" s="11" t="s">
        <v>357</v>
      </c>
      <c r="D339" s="14" t="s">
        <v>778</v>
      </c>
      <c r="E339" s="13" t="s">
        <v>779</v>
      </c>
      <c r="F339" s="11" t="s">
        <v>13</v>
      </c>
      <c r="G339" s="11"/>
    </row>
    <row r="340" customHeight="1" spans="1:7">
      <c r="A340" s="11">
        <v>337</v>
      </c>
      <c r="B340" s="11" t="s">
        <v>751</v>
      </c>
      <c r="C340" s="11" t="s">
        <v>780</v>
      </c>
      <c r="D340" s="14" t="s">
        <v>781</v>
      </c>
      <c r="E340" s="13" t="s">
        <v>782</v>
      </c>
      <c r="F340" s="11" t="s">
        <v>13</v>
      </c>
      <c r="G340" s="11"/>
    </row>
    <row r="341" customHeight="1" spans="1:7">
      <c r="A341" s="11">
        <v>338</v>
      </c>
      <c r="B341" s="11" t="s">
        <v>751</v>
      </c>
      <c r="C341" s="11" t="s">
        <v>360</v>
      </c>
      <c r="D341" s="14" t="s">
        <v>783</v>
      </c>
      <c r="E341" s="13" t="s">
        <v>784</v>
      </c>
      <c r="F341" s="11" t="s">
        <v>13</v>
      </c>
      <c r="G341" s="11"/>
    </row>
    <row r="342" customHeight="1" spans="1:7">
      <c r="A342" s="11">
        <v>339</v>
      </c>
      <c r="B342" s="11" t="s">
        <v>751</v>
      </c>
      <c r="C342" s="11" t="s">
        <v>360</v>
      </c>
      <c r="D342" s="14" t="s">
        <v>785</v>
      </c>
      <c r="E342" s="13" t="s">
        <v>786</v>
      </c>
      <c r="F342" s="11" t="s">
        <v>13</v>
      </c>
      <c r="G342" s="11"/>
    </row>
    <row r="343" customHeight="1" spans="1:7">
      <c r="A343" s="11">
        <v>340</v>
      </c>
      <c r="B343" s="11" t="s">
        <v>751</v>
      </c>
      <c r="C343" s="11" t="s">
        <v>363</v>
      </c>
      <c r="D343" s="14" t="s">
        <v>787</v>
      </c>
      <c r="E343" s="13" t="s">
        <v>788</v>
      </c>
      <c r="F343" s="11" t="s">
        <v>13</v>
      </c>
      <c r="G343" s="11"/>
    </row>
    <row r="344" customHeight="1" spans="1:7">
      <c r="A344" s="11">
        <v>341</v>
      </c>
      <c r="B344" s="11" t="s">
        <v>751</v>
      </c>
      <c r="C344" s="11" t="s">
        <v>363</v>
      </c>
      <c r="D344" s="14" t="s">
        <v>789</v>
      </c>
      <c r="E344" s="13" t="s">
        <v>790</v>
      </c>
      <c r="F344" s="11" t="s">
        <v>13</v>
      </c>
      <c r="G344" s="11"/>
    </row>
    <row r="345" customHeight="1" spans="1:7">
      <c r="A345" s="11">
        <v>342</v>
      </c>
      <c r="B345" s="11" t="s">
        <v>751</v>
      </c>
      <c r="C345" s="11" t="s">
        <v>501</v>
      </c>
      <c r="D345" s="14" t="s">
        <v>791</v>
      </c>
      <c r="E345" s="13" t="s">
        <v>792</v>
      </c>
      <c r="F345" s="11" t="s">
        <v>13</v>
      </c>
      <c r="G345" s="11"/>
    </row>
    <row r="346" customHeight="1" spans="1:7">
      <c r="A346" s="11">
        <v>343</v>
      </c>
      <c r="B346" s="11" t="s">
        <v>751</v>
      </c>
      <c r="C346" s="11" t="s">
        <v>506</v>
      </c>
      <c r="D346" s="14" t="s">
        <v>793</v>
      </c>
      <c r="E346" s="13" t="s">
        <v>794</v>
      </c>
      <c r="F346" s="11" t="s">
        <v>13</v>
      </c>
      <c r="G346" s="11"/>
    </row>
    <row r="347" customHeight="1" spans="1:7">
      <c r="A347" s="11">
        <v>344</v>
      </c>
      <c r="B347" s="11" t="s">
        <v>751</v>
      </c>
      <c r="C347" s="11" t="s">
        <v>506</v>
      </c>
      <c r="D347" s="14" t="s">
        <v>795</v>
      </c>
      <c r="E347" s="13" t="s">
        <v>796</v>
      </c>
      <c r="F347" s="11" t="s">
        <v>13</v>
      </c>
      <c r="G347" s="11"/>
    </row>
    <row r="348" customHeight="1" spans="1:7">
      <c r="A348" s="11">
        <v>345</v>
      </c>
      <c r="B348" s="11" t="s">
        <v>751</v>
      </c>
      <c r="C348" s="11" t="s">
        <v>797</v>
      </c>
      <c r="D348" s="14" t="s">
        <v>798</v>
      </c>
      <c r="E348" s="13" t="s">
        <v>799</v>
      </c>
      <c r="F348" s="11" t="s">
        <v>13</v>
      </c>
      <c r="G348" s="11"/>
    </row>
    <row r="349" customHeight="1" spans="1:7">
      <c r="A349" s="11">
        <v>346</v>
      </c>
      <c r="B349" s="11" t="s">
        <v>751</v>
      </c>
      <c r="C349" s="11" t="s">
        <v>800</v>
      </c>
      <c r="D349" s="14" t="s">
        <v>801</v>
      </c>
      <c r="E349" s="13" t="s">
        <v>802</v>
      </c>
      <c r="F349" s="11" t="s">
        <v>13</v>
      </c>
      <c r="G349" s="11"/>
    </row>
    <row r="350" customHeight="1" spans="1:7">
      <c r="A350" s="11">
        <v>347</v>
      </c>
      <c r="B350" s="11" t="s">
        <v>803</v>
      </c>
      <c r="C350" s="11" t="s">
        <v>443</v>
      </c>
      <c r="D350" s="14" t="s">
        <v>804</v>
      </c>
      <c r="E350" s="13" t="s">
        <v>805</v>
      </c>
      <c r="F350" s="11" t="s">
        <v>13</v>
      </c>
      <c r="G350" s="11"/>
    </row>
    <row r="351" customHeight="1" spans="1:7">
      <c r="A351" s="11">
        <v>348</v>
      </c>
      <c r="B351" s="11" t="s">
        <v>803</v>
      </c>
      <c r="C351" s="11" t="s">
        <v>754</v>
      </c>
      <c r="D351" s="14" t="s">
        <v>806</v>
      </c>
      <c r="E351" s="13" t="s">
        <v>807</v>
      </c>
      <c r="F351" s="11" t="s">
        <v>13</v>
      </c>
      <c r="G351" s="11"/>
    </row>
    <row r="352" customHeight="1" spans="1:7">
      <c r="A352" s="11">
        <v>349</v>
      </c>
      <c r="B352" s="11" t="s">
        <v>803</v>
      </c>
      <c r="C352" s="11" t="s">
        <v>757</v>
      </c>
      <c r="D352" s="14" t="s">
        <v>808</v>
      </c>
      <c r="E352" s="13" t="s">
        <v>809</v>
      </c>
      <c r="F352" s="11" t="s">
        <v>13</v>
      </c>
      <c r="G352" s="11"/>
    </row>
    <row r="353" customHeight="1" spans="1:7">
      <c r="A353" s="11">
        <v>350</v>
      </c>
      <c r="B353" s="11" t="s">
        <v>803</v>
      </c>
      <c r="C353" s="11" t="s">
        <v>260</v>
      </c>
      <c r="D353" s="14" t="s">
        <v>810</v>
      </c>
      <c r="E353" s="13" t="s">
        <v>811</v>
      </c>
      <c r="F353" s="11" t="s">
        <v>13</v>
      </c>
      <c r="G353" s="11"/>
    </row>
    <row r="354" customHeight="1" spans="1:7">
      <c r="A354" s="11">
        <v>351</v>
      </c>
      <c r="B354" s="11" t="s">
        <v>803</v>
      </c>
      <c r="C354" s="11" t="s">
        <v>343</v>
      </c>
      <c r="D354" s="14" t="s">
        <v>812</v>
      </c>
      <c r="E354" s="13" t="s">
        <v>562</v>
      </c>
      <c r="F354" s="11" t="s">
        <v>13</v>
      </c>
      <c r="G354" s="11"/>
    </row>
    <row r="355" customHeight="1" spans="1:7">
      <c r="A355" s="11">
        <v>352</v>
      </c>
      <c r="B355" s="11" t="s">
        <v>803</v>
      </c>
      <c r="C355" s="11" t="s">
        <v>475</v>
      </c>
      <c r="D355" s="14" t="s">
        <v>813</v>
      </c>
      <c r="E355" s="13" t="s">
        <v>814</v>
      </c>
      <c r="F355" s="11" t="s">
        <v>13</v>
      </c>
      <c r="G355" s="11"/>
    </row>
    <row r="356" customHeight="1" spans="1:7">
      <c r="A356" s="11">
        <v>353</v>
      </c>
      <c r="B356" s="11" t="s">
        <v>803</v>
      </c>
      <c r="C356" s="11" t="s">
        <v>478</v>
      </c>
      <c r="D356" s="14" t="s">
        <v>815</v>
      </c>
      <c r="E356" s="13" t="s">
        <v>816</v>
      </c>
      <c r="F356" s="11" t="s">
        <v>13</v>
      </c>
      <c r="G356" s="11"/>
    </row>
    <row r="357" customHeight="1" spans="1:7">
      <c r="A357" s="11">
        <v>354</v>
      </c>
      <c r="B357" s="11" t="s">
        <v>803</v>
      </c>
      <c r="C357" s="11" t="s">
        <v>360</v>
      </c>
      <c r="D357" s="14" t="s">
        <v>817</v>
      </c>
      <c r="E357" s="13" t="s">
        <v>818</v>
      </c>
      <c r="F357" s="11" t="s">
        <v>13</v>
      </c>
      <c r="G357" s="11"/>
    </row>
    <row r="358" customHeight="1" spans="1:7">
      <c r="A358" s="11">
        <v>355</v>
      </c>
      <c r="B358" s="11" t="s">
        <v>803</v>
      </c>
      <c r="C358" s="11" t="s">
        <v>363</v>
      </c>
      <c r="D358" s="14" t="s">
        <v>819</v>
      </c>
      <c r="E358" s="13" t="s">
        <v>820</v>
      </c>
      <c r="F358" s="11" t="s">
        <v>13</v>
      </c>
      <c r="G358" s="11"/>
    </row>
    <row r="359" customHeight="1" spans="1:7">
      <c r="A359" s="11">
        <v>356</v>
      </c>
      <c r="B359" s="11" t="s">
        <v>803</v>
      </c>
      <c r="C359" s="11" t="s">
        <v>501</v>
      </c>
      <c r="D359" s="14" t="s">
        <v>821</v>
      </c>
      <c r="E359" s="13" t="s">
        <v>822</v>
      </c>
      <c r="F359" s="11" t="s">
        <v>13</v>
      </c>
      <c r="G359" s="11"/>
    </row>
    <row r="360" customHeight="1" spans="1:7">
      <c r="A360" s="11">
        <v>357</v>
      </c>
      <c r="B360" s="11" t="s">
        <v>803</v>
      </c>
      <c r="C360" s="11" t="s">
        <v>506</v>
      </c>
      <c r="D360" s="14" t="s">
        <v>823</v>
      </c>
      <c r="E360" s="13" t="s">
        <v>187</v>
      </c>
      <c r="F360" s="11" t="s">
        <v>13</v>
      </c>
      <c r="G360" s="11"/>
    </row>
    <row r="361" customHeight="1" spans="1:7">
      <c r="A361" s="11">
        <v>358</v>
      </c>
      <c r="B361" s="11" t="s">
        <v>803</v>
      </c>
      <c r="C361" s="11" t="s">
        <v>515</v>
      </c>
      <c r="D361" s="14" t="s">
        <v>824</v>
      </c>
      <c r="E361" s="13" t="s">
        <v>825</v>
      </c>
      <c r="F361" s="11" t="s">
        <v>13</v>
      </c>
      <c r="G361" s="11"/>
    </row>
  </sheetData>
  <mergeCells count="1">
    <mergeCell ref="A2:G2"/>
  </mergeCells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87"/>
  <sheetViews>
    <sheetView topLeftCell="A1486" workbookViewId="0">
      <selection activeCell="D1518" sqref="D1518"/>
    </sheetView>
  </sheetViews>
  <sheetFormatPr defaultColWidth="9" defaultRowHeight="14"/>
  <cols>
    <col min="3" max="3" width="20.2545454545455" customWidth="1"/>
    <col min="4" max="4" width="22.6272727272727" customWidth="1"/>
    <col min="14" max="14" width="22.6272727272727" customWidth="1"/>
    <col min="15" max="15" width="20.2545454545455" customWidth="1"/>
  </cols>
  <sheetData>
    <row r="1" customFormat="1" spans="1:15">
      <c r="A1" t="s">
        <v>2</v>
      </c>
      <c r="B1" t="s">
        <v>6</v>
      </c>
      <c r="C1" t="s">
        <v>826</v>
      </c>
      <c r="D1" t="s">
        <v>5</v>
      </c>
      <c r="L1" t="s">
        <v>2</v>
      </c>
      <c r="M1" t="s">
        <v>6</v>
      </c>
      <c r="N1" t="s">
        <v>5</v>
      </c>
      <c r="O1" t="s">
        <v>826</v>
      </c>
    </row>
    <row r="2" customFormat="1" spans="1:15">
      <c r="A2">
        <v>1</v>
      </c>
      <c r="B2" t="s">
        <v>827</v>
      </c>
      <c r="C2" t="str">
        <f>"23072219930103124X"</f>
        <v>23072219930103124X</v>
      </c>
      <c r="D2" t="str">
        <f>"248030104729"</f>
        <v>248030104729</v>
      </c>
      <c r="L2">
        <v>1</v>
      </c>
      <c r="M2" t="s">
        <v>827</v>
      </c>
      <c r="N2" t="str">
        <f>"248030104729"</f>
        <v>248030104729</v>
      </c>
      <c r="O2" t="str">
        <f>"23072219930103124X"</f>
        <v>23072219930103124X</v>
      </c>
    </row>
    <row r="3" customFormat="1" spans="1:15">
      <c r="A3">
        <v>2</v>
      </c>
      <c r="B3" t="s">
        <v>828</v>
      </c>
      <c r="C3" t="str">
        <f>"440223199907124721"</f>
        <v>440223199907124721</v>
      </c>
      <c r="D3" t="str">
        <f>"248030102028"</f>
        <v>248030102028</v>
      </c>
      <c r="L3">
        <v>2</v>
      </c>
      <c r="M3" t="s">
        <v>828</v>
      </c>
      <c r="N3" t="str">
        <f>"248030102028"</f>
        <v>248030102028</v>
      </c>
      <c r="O3" t="str">
        <f>"440223199907124721"</f>
        <v>440223199907124721</v>
      </c>
    </row>
    <row r="4" customFormat="1" spans="1:15">
      <c r="A4">
        <v>4</v>
      </c>
      <c r="B4" t="s">
        <v>829</v>
      </c>
      <c r="C4" t="str">
        <f>"460003199511262025"</f>
        <v>460003199511262025</v>
      </c>
      <c r="D4" t="str">
        <f>"248030502521"</f>
        <v>248030502521</v>
      </c>
      <c r="L4">
        <v>4</v>
      </c>
      <c r="M4" t="s">
        <v>829</v>
      </c>
      <c r="N4" t="str">
        <f>"248030502521"</f>
        <v>248030502521</v>
      </c>
      <c r="O4" t="str">
        <f>"460003199511262025"</f>
        <v>460003199511262025</v>
      </c>
    </row>
    <row r="5" customFormat="1" spans="1:15">
      <c r="A5">
        <v>6</v>
      </c>
      <c r="B5" t="s">
        <v>830</v>
      </c>
      <c r="C5" t="str">
        <f>"150429200204170014"</f>
        <v>150429200204170014</v>
      </c>
      <c r="D5" t="str">
        <f>"248030401204"</f>
        <v>248030401204</v>
      </c>
      <c r="L5">
        <v>6</v>
      </c>
      <c r="M5" t="s">
        <v>830</v>
      </c>
      <c r="N5" t="str">
        <f>"248030401204"</f>
        <v>248030401204</v>
      </c>
      <c r="O5" t="str">
        <f>"150429200204170014"</f>
        <v>150429200204170014</v>
      </c>
    </row>
    <row r="6" customFormat="1" spans="1:15">
      <c r="A6">
        <v>8</v>
      </c>
      <c r="B6" t="s">
        <v>831</v>
      </c>
      <c r="C6" t="str">
        <f>"460107199904133815"</f>
        <v>460107199904133815</v>
      </c>
      <c r="D6" t="str">
        <f>"248030201125"</f>
        <v>248030201125</v>
      </c>
      <c r="L6">
        <v>8</v>
      </c>
      <c r="M6" t="s">
        <v>831</v>
      </c>
      <c r="N6" t="str">
        <f>"248030201125"</f>
        <v>248030201125</v>
      </c>
      <c r="O6" t="str">
        <f>"460107199904133815"</f>
        <v>460107199904133815</v>
      </c>
    </row>
    <row r="7" customFormat="1" spans="1:15">
      <c r="A7">
        <v>9</v>
      </c>
      <c r="B7" t="s">
        <v>832</v>
      </c>
      <c r="C7" t="str">
        <f>"460026199702175121"</f>
        <v>460026199702175121</v>
      </c>
      <c r="D7" t="str">
        <f>"248030402511"</f>
        <v>248030402511</v>
      </c>
      <c r="L7">
        <v>9</v>
      </c>
      <c r="M7" t="s">
        <v>832</v>
      </c>
      <c r="N7" t="str">
        <f>"248030402511"</f>
        <v>248030402511</v>
      </c>
      <c r="O7" t="str">
        <f>"460026199702175121"</f>
        <v>460026199702175121</v>
      </c>
    </row>
    <row r="8" customFormat="1" spans="1:15">
      <c r="A8">
        <v>10</v>
      </c>
      <c r="B8" t="s">
        <v>833</v>
      </c>
      <c r="C8" t="str">
        <f>"460007199912150046"</f>
        <v>460007199912150046</v>
      </c>
      <c r="L8">
        <v>10</v>
      </c>
      <c r="M8" t="s">
        <v>833</v>
      </c>
      <c r="O8" t="str">
        <f>"460007199912150046"</f>
        <v>460007199912150046</v>
      </c>
    </row>
    <row r="9" customFormat="1" spans="1:15">
      <c r="A9">
        <v>11</v>
      </c>
      <c r="B9" t="s">
        <v>834</v>
      </c>
      <c r="C9" t="str">
        <f>"460003199606170617"</f>
        <v>460003199606170617</v>
      </c>
      <c r="D9" t="str">
        <f>"248030104818"</f>
        <v>248030104818</v>
      </c>
      <c r="L9">
        <v>11</v>
      </c>
      <c r="M9" t="s">
        <v>834</v>
      </c>
      <c r="N9" t="str">
        <f>"248030104818"</f>
        <v>248030104818</v>
      </c>
      <c r="O9" t="str">
        <f>"460003199606170617"</f>
        <v>460003199606170617</v>
      </c>
    </row>
    <row r="10" customFormat="1" spans="1:15">
      <c r="A10">
        <v>13</v>
      </c>
      <c r="B10" t="s">
        <v>835</v>
      </c>
      <c r="C10" t="str">
        <f>"460004200107050823"</f>
        <v>460004200107050823</v>
      </c>
      <c r="D10" t="str">
        <f>"248030502507"</f>
        <v>248030502507</v>
      </c>
      <c r="L10">
        <v>13</v>
      </c>
      <c r="M10" t="s">
        <v>835</v>
      </c>
      <c r="N10" t="str">
        <f>"248030502507"</f>
        <v>248030502507</v>
      </c>
      <c r="O10" t="str">
        <f>"460004200107050823"</f>
        <v>460004200107050823</v>
      </c>
    </row>
    <row r="11" customFormat="1" spans="1:15">
      <c r="A11">
        <v>14</v>
      </c>
      <c r="B11" t="s">
        <v>836</v>
      </c>
      <c r="C11" t="str">
        <f>"460103199701031549"</f>
        <v>460103199701031549</v>
      </c>
      <c r="D11" t="str">
        <f>"248030404027"</f>
        <v>248030404027</v>
      </c>
      <c r="L11">
        <v>14</v>
      </c>
      <c r="M11" t="s">
        <v>836</v>
      </c>
      <c r="N11" t="str">
        <f>"248030404027"</f>
        <v>248030404027</v>
      </c>
      <c r="O11" t="str">
        <f>"460103199701031549"</f>
        <v>460103199701031549</v>
      </c>
    </row>
    <row r="12" customFormat="1" spans="1:15">
      <c r="A12">
        <v>15</v>
      </c>
      <c r="B12" t="s">
        <v>837</v>
      </c>
      <c r="C12" t="str">
        <f>"460003199805273328"</f>
        <v>460003199805273328</v>
      </c>
      <c r="D12" t="str">
        <f>"248030100322"</f>
        <v>248030100322</v>
      </c>
      <c r="L12">
        <v>15</v>
      </c>
      <c r="M12" t="s">
        <v>837</v>
      </c>
      <c r="N12" t="str">
        <f>"248030100322"</f>
        <v>248030100322</v>
      </c>
      <c r="O12" t="str">
        <f>"460003199805273328"</f>
        <v>460003199805273328</v>
      </c>
    </row>
    <row r="13" customFormat="1" spans="1:15">
      <c r="A13">
        <v>16</v>
      </c>
      <c r="B13" t="s">
        <v>838</v>
      </c>
      <c r="C13" t="str">
        <f>"460003199410286810"</f>
        <v>460003199410286810</v>
      </c>
      <c r="L13">
        <v>16</v>
      </c>
      <c r="M13" t="s">
        <v>838</v>
      </c>
      <c r="O13" t="str">
        <f>"460003199410286810"</f>
        <v>460003199410286810</v>
      </c>
    </row>
    <row r="14" customFormat="1" spans="1:15">
      <c r="A14">
        <v>17</v>
      </c>
      <c r="B14" t="s">
        <v>839</v>
      </c>
      <c r="C14" t="str">
        <f>"460104199902160028"</f>
        <v>460104199902160028</v>
      </c>
      <c r="D14" t="str">
        <f>"248030301120"</f>
        <v>248030301120</v>
      </c>
      <c r="L14">
        <v>17</v>
      </c>
      <c r="M14" t="s">
        <v>839</v>
      </c>
      <c r="N14" t="str">
        <f>"248030301120"</f>
        <v>248030301120</v>
      </c>
      <c r="O14" t="str">
        <f>"460104199902160028"</f>
        <v>460104199902160028</v>
      </c>
    </row>
    <row r="15" customFormat="1" spans="1:15">
      <c r="A15">
        <v>19</v>
      </c>
      <c r="B15" t="s">
        <v>840</v>
      </c>
      <c r="C15" t="str">
        <f>"460003200102133455"</f>
        <v>460003200102133455</v>
      </c>
      <c r="D15" t="str">
        <f>"248030404030"</f>
        <v>248030404030</v>
      </c>
      <c r="L15">
        <v>19</v>
      </c>
      <c r="M15" t="s">
        <v>840</v>
      </c>
      <c r="N15" t="str">
        <f>"248030404030"</f>
        <v>248030404030</v>
      </c>
      <c r="O15" t="str">
        <f>"460003200102133455"</f>
        <v>460003200102133455</v>
      </c>
    </row>
    <row r="16" customFormat="1" spans="1:15">
      <c r="A16">
        <v>20</v>
      </c>
      <c r="B16" t="s">
        <v>841</v>
      </c>
      <c r="C16" t="str">
        <f>"460027199510117660"</f>
        <v>460027199510117660</v>
      </c>
      <c r="D16" t="str">
        <f>"248030503123"</f>
        <v>248030503123</v>
      </c>
      <c r="L16">
        <v>20</v>
      </c>
      <c r="M16" t="s">
        <v>841</v>
      </c>
      <c r="N16" t="str">
        <f>"248030503123"</f>
        <v>248030503123</v>
      </c>
      <c r="O16" t="str">
        <f>"460027199510117660"</f>
        <v>460027199510117660</v>
      </c>
    </row>
    <row r="17" customFormat="1" spans="1:15">
      <c r="A17">
        <v>26</v>
      </c>
      <c r="B17" t="s">
        <v>842</v>
      </c>
      <c r="C17" t="str">
        <f>"460003200005173420"</f>
        <v>460003200005173420</v>
      </c>
      <c r="D17" t="str">
        <f>"248030402919"</f>
        <v>248030402919</v>
      </c>
      <c r="L17">
        <v>26</v>
      </c>
      <c r="M17" t="s">
        <v>842</v>
      </c>
      <c r="N17" t="str">
        <f>"248030402919"</f>
        <v>248030402919</v>
      </c>
      <c r="O17" t="str">
        <f>"460003200005173420"</f>
        <v>460003200005173420</v>
      </c>
    </row>
    <row r="18" customFormat="1" spans="1:15">
      <c r="A18">
        <v>28</v>
      </c>
      <c r="B18" t="s">
        <v>843</v>
      </c>
      <c r="C18" t="str">
        <f>"51011219941016182X"</f>
        <v>51011219941016182X</v>
      </c>
      <c r="D18" t="str">
        <f>"248030103828"</f>
        <v>248030103828</v>
      </c>
      <c r="L18">
        <v>28</v>
      </c>
      <c r="M18" t="s">
        <v>843</v>
      </c>
      <c r="N18" t="str">
        <f>"248030103828"</f>
        <v>248030103828</v>
      </c>
      <c r="O18" t="str">
        <f>"51011219941016182X"</f>
        <v>51011219941016182X</v>
      </c>
    </row>
    <row r="19" customFormat="1" spans="1:15">
      <c r="A19">
        <v>29</v>
      </c>
      <c r="B19" t="s">
        <v>844</v>
      </c>
      <c r="C19" t="str">
        <f>"370811199907040025"</f>
        <v>370811199907040025</v>
      </c>
      <c r="D19" t="str">
        <f>"248030100811"</f>
        <v>248030100811</v>
      </c>
      <c r="L19">
        <v>29</v>
      </c>
      <c r="M19" t="s">
        <v>844</v>
      </c>
      <c r="N19" t="str">
        <f>"248030100811"</f>
        <v>248030100811</v>
      </c>
      <c r="O19" t="str">
        <f>"370811199907040025"</f>
        <v>370811199907040025</v>
      </c>
    </row>
    <row r="20" customFormat="1" spans="1:15">
      <c r="A20">
        <v>31</v>
      </c>
      <c r="B20" t="s">
        <v>811</v>
      </c>
      <c r="C20" t="str">
        <f>"460028199301042822"</f>
        <v>460028199301042822</v>
      </c>
      <c r="D20" t="str">
        <f>"248030501920"</f>
        <v>248030501920</v>
      </c>
      <c r="L20">
        <v>31</v>
      </c>
      <c r="M20" t="s">
        <v>811</v>
      </c>
      <c r="N20" t="str">
        <f>"248030501920"</f>
        <v>248030501920</v>
      </c>
      <c r="O20" t="str">
        <f>"460028199301042822"</f>
        <v>460028199301042822</v>
      </c>
    </row>
    <row r="21" customFormat="1" spans="1:15">
      <c r="A21">
        <v>34</v>
      </c>
      <c r="B21" t="s">
        <v>845</v>
      </c>
      <c r="C21" t="str">
        <f>"46000220011014123X"</f>
        <v>46000220011014123X</v>
      </c>
      <c r="L21">
        <v>34</v>
      </c>
      <c r="M21" t="s">
        <v>845</v>
      </c>
      <c r="O21" t="str">
        <f>"46000220011014123X"</f>
        <v>46000220011014123X</v>
      </c>
    </row>
    <row r="22" customFormat="1" spans="1:15">
      <c r="A22">
        <v>36</v>
      </c>
      <c r="B22" t="s">
        <v>846</v>
      </c>
      <c r="C22" t="str">
        <f>"460006199710217226"</f>
        <v>460006199710217226</v>
      </c>
      <c r="D22" t="str">
        <f>"248030502810"</f>
        <v>248030502810</v>
      </c>
      <c r="L22">
        <v>36</v>
      </c>
      <c r="M22" t="s">
        <v>846</v>
      </c>
      <c r="N22" t="str">
        <f>"248030502810"</f>
        <v>248030502810</v>
      </c>
      <c r="O22" t="str">
        <f>"460006199710217226"</f>
        <v>460006199710217226</v>
      </c>
    </row>
    <row r="23" customFormat="1" spans="1:15">
      <c r="A23">
        <v>39</v>
      </c>
      <c r="B23" t="s">
        <v>847</v>
      </c>
      <c r="C23" t="str">
        <f>"460006200108276835"</f>
        <v>460006200108276835</v>
      </c>
      <c r="D23" t="str">
        <f>"248030402629"</f>
        <v>248030402629</v>
      </c>
      <c r="L23">
        <v>39</v>
      </c>
      <c r="M23" t="s">
        <v>847</v>
      </c>
      <c r="N23" t="str">
        <f>"248030402629"</f>
        <v>248030402629</v>
      </c>
      <c r="O23" t="str">
        <f>"460006200108276835"</f>
        <v>460006200108276835</v>
      </c>
    </row>
    <row r="24" customFormat="1" spans="1:15">
      <c r="A24">
        <v>40</v>
      </c>
      <c r="B24" t="s">
        <v>848</v>
      </c>
      <c r="C24" t="str">
        <f>"460003199802162227"</f>
        <v>460003199802162227</v>
      </c>
      <c r="D24" t="str">
        <f>"248030402323"</f>
        <v>248030402323</v>
      </c>
      <c r="L24">
        <v>40</v>
      </c>
      <c r="M24" t="s">
        <v>848</v>
      </c>
      <c r="N24" t="str">
        <f>"248030402323"</f>
        <v>248030402323</v>
      </c>
      <c r="O24" t="str">
        <f>"460003199802162227"</f>
        <v>460003199802162227</v>
      </c>
    </row>
    <row r="25" customFormat="1" spans="1:15">
      <c r="A25">
        <v>41</v>
      </c>
      <c r="B25" t="s">
        <v>849</v>
      </c>
      <c r="C25" t="str">
        <f>"469007199608215763"</f>
        <v>469007199608215763</v>
      </c>
      <c r="L25">
        <v>41</v>
      </c>
      <c r="M25" t="s">
        <v>849</v>
      </c>
      <c r="O25" t="str">
        <f>"469007199608215763"</f>
        <v>469007199608215763</v>
      </c>
    </row>
    <row r="26" customFormat="1" spans="1:15">
      <c r="A26">
        <v>42</v>
      </c>
      <c r="B26" t="s">
        <v>850</v>
      </c>
      <c r="C26" t="str">
        <f>"460200199302165554"</f>
        <v>460200199302165554</v>
      </c>
      <c r="D26" t="str">
        <f>"248030402225"</f>
        <v>248030402225</v>
      </c>
      <c r="L26">
        <v>42</v>
      </c>
      <c r="M26" t="s">
        <v>850</v>
      </c>
      <c r="N26" t="str">
        <f>"248030402225"</f>
        <v>248030402225</v>
      </c>
      <c r="O26" t="str">
        <f>"460200199302165554"</f>
        <v>460200199302165554</v>
      </c>
    </row>
    <row r="27" customFormat="1" spans="1:15">
      <c r="A27">
        <v>43</v>
      </c>
      <c r="B27" t="s">
        <v>851</v>
      </c>
      <c r="C27" t="str">
        <f>"460022199302025145"</f>
        <v>460022199302025145</v>
      </c>
      <c r="D27" t="str">
        <f>"248030403307"</f>
        <v>248030403307</v>
      </c>
      <c r="L27">
        <v>43</v>
      </c>
      <c r="M27" t="s">
        <v>851</v>
      </c>
      <c r="N27" t="str">
        <f>"248030403307"</f>
        <v>248030403307</v>
      </c>
      <c r="O27" t="str">
        <f>"460022199302025145"</f>
        <v>460022199302025145</v>
      </c>
    </row>
    <row r="28" customFormat="1" spans="1:15">
      <c r="A28">
        <v>46</v>
      </c>
      <c r="B28" t="s">
        <v>852</v>
      </c>
      <c r="C28" t="str">
        <f>"460028200011095622"</f>
        <v>460028200011095622</v>
      </c>
      <c r="D28" t="str">
        <f>"248030100507"</f>
        <v>248030100507</v>
      </c>
      <c r="L28">
        <v>46</v>
      </c>
      <c r="M28" t="s">
        <v>852</v>
      </c>
      <c r="N28" t="str">
        <f>"248030100507"</f>
        <v>248030100507</v>
      </c>
      <c r="O28" t="str">
        <f>"460028200011095622"</f>
        <v>460028200011095622</v>
      </c>
    </row>
    <row r="29" customFormat="1" spans="1:15">
      <c r="A29">
        <v>47</v>
      </c>
      <c r="B29" t="s">
        <v>853</v>
      </c>
      <c r="C29" t="str">
        <f>"460001199311061015"</f>
        <v>460001199311061015</v>
      </c>
      <c r="D29" t="str">
        <f>"248030403806"</f>
        <v>248030403806</v>
      </c>
      <c r="L29">
        <v>47</v>
      </c>
      <c r="M29" t="s">
        <v>853</v>
      </c>
      <c r="N29" t="str">
        <f>"248030403806"</f>
        <v>248030403806</v>
      </c>
      <c r="O29" t="str">
        <f>"460001199311061015"</f>
        <v>460001199311061015</v>
      </c>
    </row>
    <row r="30" customFormat="1" spans="1:15">
      <c r="A30">
        <v>50</v>
      </c>
      <c r="B30" t="s">
        <v>854</v>
      </c>
      <c r="C30" t="str">
        <f>"460027199711293767"</f>
        <v>460027199711293767</v>
      </c>
      <c r="L30">
        <v>50</v>
      </c>
      <c r="M30" t="s">
        <v>854</v>
      </c>
      <c r="O30" t="str">
        <f>"460027199711293767"</f>
        <v>460027199711293767</v>
      </c>
    </row>
    <row r="31" customFormat="1" spans="1:15">
      <c r="A31">
        <v>52</v>
      </c>
      <c r="B31" t="s">
        <v>855</v>
      </c>
      <c r="C31" t="str">
        <f>"460031199511106423"</f>
        <v>460031199511106423</v>
      </c>
      <c r="D31" t="str">
        <f>"248030402004"</f>
        <v>248030402004</v>
      </c>
      <c r="L31">
        <v>52</v>
      </c>
      <c r="M31" t="s">
        <v>855</v>
      </c>
      <c r="N31" t="str">
        <f>"248030402004"</f>
        <v>248030402004</v>
      </c>
      <c r="O31" t="str">
        <f>"460031199511106423"</f>
        <v>460031199511106423</v>
      </c>
    </row>
    <row r="32" customFormat="1" spans="1:15">
      <c r="A32">
        <v>55</v>
      </c>
      <c r="B32" t="s">
        <v>856</v>
      </c>
      <c r="C32" t="str">
        <f>"460002199712023446"</f>
        <v>460002199712023446</v>
      </c>
      <c r="D32" t="str">
        <f>"248030401308"</f>
        <v>248030401308</v>
      </c>
      <c r="L32">
        <v>55</v>
      </c>
      <c r="M32" t="s">
        <v>856</v>
      </c>
      <c r="N32" t="str">
        <f>"248030401308"</f>
        <v>248030401308</v>
      </c>
      <c r="O32" t="str">
        <f>"460002199712023446"</f>
        <v>460002199712023446</v>
      </c>
    </row>
    <row r="33" customFormat="1" spans="1:15">
      <c r="A33">
        <v>57</v>
      </c>
      <c r="B33" t="s">
        <v>857</v>
      </c>
      <c r="C33" t="str">
        <f>"460103199510130026"</f>
        <v>460103199510130026</v>
      </c>
      <c r="D33" t="str">
        <f>"248030502327"</f>
        <v>248030502327</v>
      </c>
      <c r="L33">
        <v>57</v>
      </c>
      <c r="M33" t="s">
        <v>857</v>
      </c>
      <c r="N33" t="str">
        <f>"248030502327"</f>
        <v>248030502327</v>
      </c>
      <c r="O33" t="str">
        <f>"460103199510130026"</f>
        <v>460103199510130026</v>
      </c>
    </row>
    <row r="34" customFormat="1" spans="1:15">
      <c r="A34">
        <v>58</v>
      </c>
      <c r="B34" t="s">
        <v>858</v>
      </c>
      <c r="C34" t="str">
        <f>"210411198901254144"</f>
        <v>210411198901254144</v>
      </c>
      <c r="L34">
        <v>58</v>
      </c>
      <c r="M34" t="s">
        <v>858</v>
      </c>
      <c r="O34" t="str">
        <f>"210411198901254144"</f>
        <v>210411198901254144</v>
      </c>
    </row>
    <row r="35" customFormat="1" spans="1:15">
      <c r="A35">
        <v>60</v>
      </c>
      <c r="B35" t="s">
        <v>859</v>
      </c>
      <c r="C35" t="str">
        <f>"460006200112092326"</f>
        <v>460006200112092326</v>
      </c>
      <c r="D35" t="str">
        <f>"248030101228"</f>
        <v>248030101228</v>
      </c>
      <c r="L35">
        <v>60</v>
      </c>
      <c r="M35" t="s">
        <v>859</v>
      </c>
      <c r="N35" t="str">
        <f>"248030101228"</f>
        <v>248030101228</v>
      </c>
      <c r="O35" t="str">
        <f>"460006200112092326"</f>
        <v>460006200112092326</v>
      </c>
    </row>
    <row r="36" customFormat="1" spans="1:15">
      <c r="A36">
        <v>61</v>
      </c>
      <c r="B36" t="s">
        <v>181</v>
      </c>
      <c r="C36" t="str">
        <f>"220283199306070102"</f>
        <v>220283199306070102</v>
      </c>
      <c r="D36" t="str">
        <f>"248030501422"</f>
        <v>248030501422</v>
      </c>
      <c r="L36">
        <v>61</v>
      </c>
      <c r="M36" t="s">
        <v>181</v>
      </c>
      <c r="N36" t="str">
        <f>"248030501422"</f>
        <v>248030501422</v>
      </c>
      <c r="O36" t="str">
        <f>"220283199306070102"</f>
        <v>220283199306070102</v>
      </c>
    </row>
    <row r="37" customFormat="1" spans="1:15">
      <c r="A37">
        <v>62</v>
      </c>
      <c r="B37" t="s">
        <v>860</v>
      </c>
      <c r="C37" t="str">
        <f>"469023199201125926"</f>
        <v>469023199201125926</v>
      </c>
      <c r="D37" t="str">
        <f>"248030403824"</f>
        <v>248030403824</v>
      </c>
      <c r="L37">
        <v>62</v>
      </c>
      <c r="M37" t="s">
        <v>860</v>
      </c>
      <c r="N37" t="str">
        <f>"248030403824"</f>
        <v>248030403824</v>
      </c>
      <c r="O37" t="str">
        <f>"469023199201125926"</f>
        <v>469023199201125926</v>
      </c>
    </row>
    <row r="38" customFormat="1" spans="1:15">
      <c r="A38">
        <v>65</v>
      </c>
      <c r="B38" t="s">
        <v>861</v>
      </c>
      <c r="C38" t="str">
        <f>"46002819990207001X"</f>
        <v>46002819990207001X</v>
      </c>
      <c r="L38">
        <v>65</v>
      </c>
      <c r="M38" t="s">
        <v>861</v>
      </c>
      <c r="O38" t="str">
        <f>"46002819990207001X"</f>
        <v>46002819990207001X</v>
      </c>
    </row>
    <row r="39" customFormat="1" spans="1:15">
      <c r="A39">
        <v>66</v>
      </c>
      <c r="B39" t="s">
        <v>862</v>
      </c>
      <c r="C39" t="str">
        <f>"46000319990415261X"</f>
        <v>46000319990415261X</v>
      </c>
      <c r="D39" t="str">
        <f>"248030201727"</f>
        <v>248030201727</v>
      </c>
      <c r="L39">
        <v>66</v>
      </c>
      <c r="M39" t="s">
        <v>862</v>
      </c>
      <c r="N39" t="str">
        <f>"248030201727"</f>
        <v>248030201727</v>
      </c>
      <c r="O39" t="str">
        <f>"46000319990415261X"</f>
        <v>46000319990415261X</v>
      </c>
    </row>
    <row r="40" customFormat="1" spans="1:15">
      <c r="A40">
        <v>67</v>
      </c>
      <c r="B40" t="s">
        <v>863</v>
      </c>
      <c r="C40" t="str">
        <f>"460003200003205628"</f>
        <v>460003200003205628</v>
      </c>
      <c r="D40" t="str">
        <f>"248030503709"</f>
        <v>248030503709</v>
      </c>
      <c r="L40">
        <v>67</v>
      </c>
      <c r="M40" t="s">
        <v>863</v>
      </c>
      <c r="N40" t="str">
        <f>"248030503709"</f>
        <v>248030503709</v>
      </c>
      <c r="O40" t="str">
        <f>"460003200003205628"</f>
        <v>460003200003205628</v>
      </c>
    </row>
    <row r="41" customFormat="1" spans="1:15">
      <c r="A41">
        <v>68</v>
      </c>
      <c r="B41" t="s">
        <v>864</v>
      </c>
      <c r="C41" t="str">
        <f>"460003199402027042"</f>
        <v>460003199402027042</v>
      </c>
      <c r="D41" t="str">
        <f>"248030101102"</f>
        <v>248030101102</v>
      </c>
      <c r="L41">
        <v>68</v>
      </c>
      <c r="M41" t="s">
        <v>864</v>
      </c>
      <c r="N41" t="str">
        <f>"248030101102"</f>
        <v>248030101102</v>
      </c>
      <c r="O41" t="str">
        <f>"460003199402027042"</f>
        <v>460003199402027042</v>
      </c>
    </row>
    <row r="42" customFormat="1" spans="1:15">
      <c r="A42">
        <v>71</v>
      </c>
      <c r="B42" t="s">
        <v>609</v>
      </c>
      <c r="C42" t="str">
        <f>"430702198811305228"</f>
        <v>430702198811305228</v>
      </c>
      <c r="D42" t="str">
        <f>"248030104002"</f>
        <v>248030104002</v>
      </c>
      <c r="L42">
        <v>71</v>
      </c>
      <c r="M42" t="s">
        <v>609</v>
      </c>
      <c r="N42" t="str">
        <f>"248030104002"</f>
        <v>248030104002</v>
      </c>
      <c r="O42" t="str">
        <f>"430702198811305228"</f>
        <v>430702198811305228</v>
      </c>
    </row>
    <row r="43" customFormat="1" spans="1:15">
      <c r="A43">
        <v>72</v>
      </c>
      <c r="B43" t="s">
        <v>865</v>
      </c>
      <c r="C43" t="str">
        <f>"460003199405122424"</f>
        <v>460003199405122424</v>
      </c>
      <c r="L43">
        <v>72</v>
      </c>
      <c r="M43" t="s">
        <v>865</v>
      </c>
      <c r="O43" t="str">
        <f>"460003199405122424"</f>
        <v>460003199405122424</v>
      </c>
    </row>
    <row r="44" customFormat="1" spans="1:15">
      <c r="A44">
        <v>73</v>
      </c>
      <c r="B44" t="s">
        <v>866</v>
      </c>
      <c r="C44" t="str">
        <f>"460033199902185686"</f>
        <v>460033199902185686</v>
      </c>
      <c r="D44" t="str">
        <f>"248030400717"</f>
        <v>248030400717</v>
      </c>
      <c r="L44">
        <v>73</v>
      </c>
      <c r="M44" t="s">
        <v>866</v>
      </c>
      <c r="N44" t="str">
        <f>"248030400717"</f>
        <v>248030400717</v>
      </c>
      <c r="O44" t="str">
        <f>"460033199902185686"</f>
        <v>460033199902185686</v>
      </c>
    </row>
    <row r="45" customFormat="1" spans="1:15">
      <c r="A45">
        <v>75</v>
      </c>
      <c r="B45" t="s">
        <v>867</v>
      </c>
      <c r="C45" t="str">
        <f>"460033199509063885"</f>
        <v>460033199509063885</v>
      </c>
      <c r="L45">
        <v>75</v>
      </c>
      <c r="M45" t="s">
        <v>867</v>
      </c>
      <c r="O45" t="str">
        <f>"460033199509063885"</f>
        <v>460033199509063885</v>
      </c>
    </row>
    <row r="46" customFormat="1" spans="1:15">
      <c r="A46">
        <v>78</v>
      </c>
      <c r="B46" t="s">
        <v>868</v>
      </c>
      <c r="C46" t="str">
        <f>"460003199310250618"</f>
        <v>460003199310250618</v>
      </c>
      <c r="L46">
        <v>78</v>
      </c>
      <c r="M46" t="s">
        <v>868</v>
      </c>
      <c r="O46" t="str">
        <f>"460003199310250618"</f>
        <v>460003199310250618</v>
      </c>
    </row>
    <row r="47" customFormat="1" spans="1:15">
      <c r="A47">
        <v>79</v>
      </c>
      <c r="B47" t="s">
        <v>869</v>
      </c>
      <c r="C47" t="str">
        <f>"500234199401064704"</f>
        <v>500234199401064704</v>
      </c>
      <c r="D47" t="str">
        <f>"248030202724"</f>
        <v>248030202724</v>
      </c>
      <c r="L47">
        <v>79</v>
      </c>
      <c r="M47" t="s">
        <v>869</v>
      </c>
      <c r="N47" t="str">
        <f>"248030202724"</f>
        <v>248030202724</v>
      </c>
      <c r="O47" t="str">
        <f>"500234199401064704"</f>
        <v>500234199401064704</v>
      </c>
    </row>
    <row r="48" customFormat="1" spans="1:15">
      <c r="A48">
        <v>80</v>
      </c>
      <c r="B48" t="s">
        <v>870</v>
      </c>
      <c r="C48" t="str">
        <f>"342626199307115644"</f>
        <v>342626199307115644</v>
      </c>
      <c r="D48" t="str">
        <f>"248030501015"</f>
        <v>248030501015</v>
      </c>
      <c r="L48">
        <v>80</v>
      </c>
      <c r="M48" t="s">
        <v>870</v>
      </c>
      <c r="N48" t="str">
        <f>"248030501015"</f>
        <v>248030501015</v>
      </c>
      <c r="O48" t="str">
        <f>"342626199307115644"</f>
        <v>342626199307115644</v>
      </c>
    </row>
    <row r="49" customFormat="1" spans="1:15">
      <c r="A49">
        <v>82</v>
      </c>
      <c r="B49" t="s">
        <v>871</v>
      </c>
      <c r="C49" t="str">
        <f>"460004199207062623"</f>
        <v>460004199207062623</v>
      </c>
      <c r="L49">
        <v>82</v>
      </c>
      <c r="M49" t="s">
        <v>871</v>
      </c>
      <c r="O49" t="str">
        <f>"460004199207062623"</f>
        <v>460004199207062623</v>
      </c>
    </row>
    <row r="50" customFormat="1" spans="1:15">
      <c r="A50">
        <v>83</v>
      </c>
      <c r="B50" t="s">
        <v>872</v>
      </c>
      <c r="C50" t="str">
        <f>"460028198905090011"</f>
        <v>460028198905090011</v>
      </c>
      <c r="D50" t="str">
        <f>"248030104615"</f>
        <v>248030104615</v>
      </c>
      <c r="L50">
        <v>83</v>
      </c>
      <c r="M50" t="s">
        <v>872</v>
      </c>
      <c r="N50" t="str">
        <f>"248030104615"</f>
        <v>248030104615</v>
      </c>
      <c r="O50" t="str">
        <f>"460028198905090011"</f>
        <v>460028198905090011</v>
      </c>
    </row>
    <row r="51" customFormat="1" spans="1:15">
      <c r="A51">
        <v>86</v>
      </c>
      <c r="B51" t="s">
        <v>873</v>
      </c>
      <c r="C51" t="str">
        <f>"130528200102014825"</f>
        <v>130528200102014825</v>
      </c>
      <c r="D51" t="str">
        <f>"248030103518"</f>
        <v>248030103518</v>
      </c>
      <c r="L51">
        <v>86</v>
      </c>
      <c r="M51" t="s">
        <v>873</v>
      </c>
      <c r="N51" t="str">
        <f>"248030103518"</f>
        <v>248030103518</v>
      </c>
      <c r="O51" t="str">
        <f>"130528200102014825"</f>
        <v>130528200102014825</v>
      </c>
    </row>
    <row r="52" customFormat="1" spans="1:15">
      <c r="A52">
        <v>88</v>
      </c>
      <c r="B52" t="s">
        <v>874</v>
      </c>
      <c r="C52" t="str">
        <f>"412822199009070461"</f>
        <v>412822199009070461</v>
      </c>
      <c r="D52" t="str">
        <f>"248030503304"</f>
        <v>248030503304</v>
      </c>
      <c r="L52">
        <v>88</v>
      </c>
      <c r="M52" t="s">
        <v>874</v>
      </c>
      <c r="N52" t="str">
        <f>"248030503304"</f>
        <v>248030503304</v>
      </c>
      <c r="O52" t="str">
        <f>"412822199009070461"</f>
        <v>412822199009070461</v>
      </c>
    </row>
    <row r="53" customFormat="1" spans="1:15">
      <c r="A53">
        <v>89</v>
      </c>
      <c r="B53" t="s">
        <v>875</v>
      </c>
      <c r="C53" t="str">
        <f>"460003199006071420"</f>
        <v>460003199006071420</v>
      </c>
      <c r="D53" t="str">
        <f>"248030502504"</f>
        <v>248030502504</v>
      </c>
      <c r="L53">
        <v>89</v>
      </c>
      <c r="M53" t="s">
        <v>875</v>
      </c>
      <c r="N53" t="str">
        <f>"248030502504"</f>
        <v>248030502504</v>
      </c>
      <c r="O53" t="str">
        <f>"460003199006071420"</f>
        <v>460003199006071420</v>
      </c>
    </row>
    <row r="54" customFormat="1" spans="1:15">
      <c r="A54">
        <v>91</v>
      </c>
      <c r="B54" t="s">
        <v>81</v>
      </c>
      <c r="C54" t="str">
        <f>"33032419941010668X"</f>
        <v>33032419941010668X</v>
      </c>
      <c r="D54" t="str">
        <f>"248030203114"</f>
        <v>248030203114</v>
      </c>
      <c r="L54">
        <v>91</v>
      </c>
      <c r="M54" t="s">
        <v>81</v>
      </c>
      <c r="N54" t="str">
        <f>"248030203114"</f>
        <v>248030203114</v>
      </c>
      <c r="O54" t="str">
        <f>"33032419941010668X"</f>
        <v>33032419941010668X</v>
      </c>
    </row>
    <row r="55" customFormat="1" spans="1:15">
      <c r="A55">
        <v>93</v>
      </c>
      <c r="B55" t="s">
        <v>876</v>
      </c>
      <c r="C55" t="str">
        <f>"231182198811164528"</f>
        <v>231182198811164528</v>
      </c>
      <c r="D55" t="str">
        <f>"248030103312"</f>
        <v>248030103312</v>
      </c>
      <c r="L55">
        <v>93</v>
      </c>
      <c r="M55" t="s">
        <v>876</v>
      </c>
      <c r="N55" t="str">
        <f>"248030103312"</f>
        <v>248030103312</v>
      </c>
      <c r="O55" t="str">
        <f>"231182198811164528"</f>
        <v>231182198811164528</v>
      </c>
    </row>
    <row r="56" customFormat="1" spans="1:15">
      <c r="A56">
        <v>94</v>
      </c>
      <c r="B56" t="s">
        <v>877</v>
      </c>
      <c r="C56" t="str">
        <f>"460031200105205229"</f>
        <v>460031200105205229</v>
      </c>
      <c r="D56" t="str">
        <f>"248030200115"</f>
        <v>248030200115</v>
      </c>
      <c r="L56">
        <v>94</v>
      </c>
      <c r="M56" t="s">
        <v>877</v>
      </c>
      <c r="N56" t="str">
        <f>"248030200115"</f>
        <v>248030200115</v>
      </c>
      <c r="O56" t="str">
        <f>"460031200105205229"</f>
        <v>460031200105205229</v>
      </c>
    </row>
    <row r="57" customFormat="1" spans="1:15">
      <c r="A57">
        <v>96</v>
      </c>
      <c r="B57" t="s">
        <v>878</v>
      </c>
      <c r="C57" t="str">
        <f>"460006200002265222"</f>
        <v>460006200002265222</v>
      </c>
      <c r="D57" t="str">
        <f>"248030402120"</f>
        <v>248030402120</v>
      </c>
      <c r="L57">
        <v>96</v>
      </c>
      <c r="M57" t="s">
        <v>878</v>
      </c>
      <c r="N57" t="str">
        <f>"248030402120"</f>
        <v>248030402120</v>
      </c>
      <c r="O57" t="str">
        <f>"460006200002265222"</f>
        <v>460006200002265222</v>
      </c>
    </row>
    <row r="58" customFormat="1" spans="1:15">
      <c r="A58">
        <v>97</v>
      </c>
      <c r="B58" t="s">
        <v>879</v>
      </c>
      <c r="C58" t="str">
        <f>"362202199505133545"</f>
        <v>362202199505133545</v>
      </c>
      <c r="D58" t="str">
        <f>"248030203427"</f>
        <v>248030203427</v>
      </c>
      <c r="L58">
        <v>97</v>
      </c>
      <c r="M58" t="s">
        <v>879</v>
      </c>
      <c r="N58" t="str">
        <f>"248030203427"</f>
        <v>248030203427</v>
      </c>
      <c r="O58" t="str">
        <f>"362202199505133545"</f>
        <v>362202199505133545</v>
      </c>
    </row>
    <row r="59" customFormat="1" spans="1:15">
      <c r="A59">
        <v>98</v>
      </c>
      <c r="B59" t="s">
        <v>880</v>
      </c>
      <c r="C59" t="str">
        <f>"460102199410191538"</f>
        <v>460102199410191538</v>
      </c>
      <c r="D59" t="str">
        <f>"248030202010"</f>
        <v>248030202010</v>
      </c>
      <c r="L59">
        <v>98</v>
      </c>
      <c r="M59" t="s">
        <v>880</v>
      </c>
      <c r="N59" t="str">
        <f>"248030202010"</f>
        <v>248030202010</v>
      </c>
      <c r="O59" t="str">
        <f>"460102199410191538"</f>
        <v>460102199410191538</v>
      </c>
    </row>
    <row r="60" customFormat="1" spans="1:15">
      <c r="A60">
        <v>99</v>
      </c>
      <c r="B60" t="s">
        <v>76</v>
      </c>
      <c r="C60" t="str">
        <f>"412826199506100321"</f>
        <v>412826199506100321</v>
      </c>
      <c r="L60">
        <v>99</v>
      </c>
      <c r="M60" t="s">
        <v>76</v>
      </c>
      <c r="O60" t="str">
        <f>"412826199506100321"</f>
        <v>412826199506100321</v>
      </c>
    </row>
    <row r="61" customFormat="1" spans="1:15">
      <c r="A61">
        <v>100</v>
      </c>
      <c r="B61" t="s">
        <v>881</v>
      </c>
      <c r="C61" t="str">
        <f>"460028200210030020"</f>
        <v>460028200210030020</v>
      </c>
      <c r="D61" t="str">
        <f>"248030504029"</f>
        <v>248030504029</v>
      </c>
      <c r="L61">
        <v>100</v>
      </c>
      <c r="M61" t="s">
        <v>881</v>
      </c>
      <c r="N61" t="str">
        <f>"248030504029"</f>
        <v>248030504029</v>
      </c>
      <c r="O61" t="str">
        <f>"460028200210030020"</f>
        <v>460028200210030020</v>
      </c>
    </row>
    <row r="62" customFormat="1" spans="1:15">
      <c r="A62">
        <v>101</v>
      </c>
      <c r="B62" t="s">
        <v>286</v>
      </c>
      <c r="C62" t="str">
        <f>"460005199306034827"</f>
        <v>460005199306034827</v>
      </c>
      <c r="D62" t="str">
        <f>"248030403515"</f>
        <v>248030403515</v>
      </c>
      <c r="L62">
        <v>101</v>
      </c>
      <c r="M62" t="s">
        <v>286</v>
      </c>
      <c r="N62" t="str">
        <f>"248030403515"</f>
        <v>248030403515</v>
      </c>
      <c r="O62" t="str">
        <f>"460005199306034827"</f>
        <v>460005199306034827</v>
      </c>
    </row>
    <row r="63" customFormat="1" spans="1:15">
      <c r="A63">
        <v>103</v>
      </c>
      <c r="B63" t="s">
        <v>882</v>
      </c>
      <c r="C63" t="str">
        <f>"460003199910052025"</f>
        <v>460003199910052025</v>
      </c>
      <c r="L63">
        <v>103</v>
      </c>
      <c r="M63" t="s">
        <v>882</v>
      </c>
      <c r="O63" t="str">
        <f>"460003199910052025"</f>
        <v>460003199910052025</v>
      </c>
    </row>
    <row r="64" customFormat="1" spans="1:15">
      <c r="A64">
        <v>104</v>
      </c>
      <c r="B64" t="s">
        <v>883</v>
      </c>
      <c r="C64" t="str">
        <f>"460028199806210836"</f>
        <v>460028199806210836</v>
      </c>
      <c r="D64" t="str">
        <f>"248030104708"</f>
        <v>248030104708</v>
      </c>
      <c r="L64">
        <v>104</v>
      </c>
      <c r="M64" t="s">
        <v>883</v>
      </c>
      <c r="N64" t="str">
        <f>"248030104708"</f>
        <v>248030104708</v>
      </c>
      <c r="O64" t="str">
        <f>"460028199806210836"</f>
        <v>460028199806210836</v>
      </c>
    </row>
    <row r="65" customFormat="1" spans="1:15">
      <c r="A65">
        <v>105</v>
      </c>
      <c r="B65" t="s">
        <v>884</v>
      </c>
      <c r="C65" t="str">
        <f>"460004199405020010"</f>
        <v>460004199405020010</v>
      </c>
      <c r="D65" t="str">
        <f>"248030402609"</f>
        <v>248030402609</v>
      </c>
      <c r="L65">
        <v>105</v>
      </c>
      <c r="M65" t="s">
        <v>884</v>
      </c>
      <c r="N65" t="str">
        <f>"248030402609"</f>
        <v>248030402609</v>
      </c>
      <c r="O65" t="str">
        <f>"460004199405020010"</f>
        <v>460004199405020010</v>
      </c>
    </row>
    <row r="66" customFormat="1" spans="1:15">
      <c r="A66">
        <v>106</v>
      </c>
      <c r="B66" t="s">
        <v>885</v>
      </c>
      <c r="C66" t="str">
        <f>"460006199505212928"</f>
        <v>460006199505212928</v>
      </c>
      <c r="D66" t="str">
        <f>"248030202616"</f>
        <v>248030202616</v>
      </c>
      <c r="L66">
        <v>106</v>
      </c>
      <c r="M66" t="s">
        <v>885</v>
      </c>
      <c r="N66" t="str">
        <f>"248030202616"</f>
        <v>248030202616</v>
      </c>
      <c r="O66" t="str">
        <f>"460006199505212928"</f>
        <v>460006199505212928</v>
      </c>
    </row>
    <row r="67" customFormat="1" spans="1:15">
      <c r="A67">
        <v>107</v>
      </c>
      <c r="B67" t="s">
        <v>886</v>
      </c>
      <c r="C67" t="str">
        <f>"440582199007283627"</f>
        <v>440582199007283627</v>
      </c>
      <c r="D67" t="str">
        <f>"248030403512"</f>
        <v>248030403512</v>
      </c>
      <c r="L67">
        <v>107</v>
      </c>
      <c r="M67" t="s">
        <v>886</v>
      </c>
      <c r="N67" t="str">
        <f>"248030403512"</f>
        <v>248030403512</v>
      </c>
      <c r="O67" t="str">
        <f>"440582199007283627"</f>
        <v>440582199007283627</v>
      </c>
    </row>
    <row r="68" customFormat="1" spans="1:15">
      <c r="A68">
        <v>111</v>
      </c>
      <c r="B68" t="s">
        <v>887</v>
      </c>
      <c r="C68" t="str">
        <f>"460006200009291669"</f>
        <v>460006200009291669</v>
      </c>
      <c r="D68" t="str">
        <f>"248030103422"</f>
        <v>248030103422</v>
      </c>
      <c r="L68">
        <v>111</v>
      </c>
      <c r="M68" t="s">
        <v>887</v>
      </c>
      <c r="N68" t="str">
        <f>"248030103422"</f>
        <v>248030103422</v>
      </c>
      <c r="O68" t="str">
        <f>"460006200009291669"</f>
        <v>460006200009291669</v>
      </c>
    </row>
    <row r="69" customFormat="1" spans="1:15">
      <c r="A69">
        <v>112</v>
      </c>
      <c r="B69" t="s">
        <v>888</v>
      </c>
      <c r="C69" t="str">
        <f>"37292219911207616X"</f>
        <v>37292219911207616X</v>
      </c>
      <c r="L69">
        <v>112</v>
      </c>
      <c r="M69" t="s">
        <v>888</v>
      </c>
      <c r="O69" t="str">
        <f>"37292219911207616X"</f>
        <v>37292219911207616X</v>
      </c>
    </row>
    <row r="70" customFormat="1" spans="1:15">
      <c r="A70">
        <v>113</v>
      </c>
      <c r="B70" t="s">
        <v>889</v>
      </c>
      <c r="C70" t="str">
        <f>"460027199501082320"</f>
        <v>460027199501082320</v>
      </c>
      <c r="D70" t="str">
        <f>"248030403024"</f>
        <v>248030403024</v>
      </c>
      <c r="L70">
        <v>113</v>
      </c>
      <c r="M70" t="s">
        <v>889</v>
      </c>
      <c r="N70" t="str">
        <f>"248030403024"</f>
        <v>248030403024</v>
      </c>
      <c r="O70" t="str">
        <f>"460027199501082320"</f>
        <v>460027199501082320</v>
      </c>
    </row>
    <row r="71" customFormat="1" spans="1:15">
      <c r="A71">
        <v>115</v>
      </c>
      <c r="B71" t="s">
        <v>890</v>
      </c>
      <c r="C71" t="str">
        <f>"460105199906157527"</f>
        <v>460105199906157527</v>
      </c>
      <c r="D71" t="str">
        <f>"248030501121"</f>
        <v>248030501121</v>
      </c>
      <c r="L71">
        <v>115</v>
      </c>
      <c r="M71" t="s">
        <v>890</v>
      </c>
      <c r="N71" t="str">
        <f>"248030501121"</f>
        <v>248030501121</v>
      </c>
      <c r="O71" t="str">
        <f>"460105199906157527"</f>
        <v>460105199906157527</v>
      </c>
    </row>
    <row r="72" customFormat="1" spans="1:15">
      <c r="A72">
        <v>116</v>
      </c>
      <c r="B72" t="s">
        <v>891</v>
      </c>
      <c r="C72" t="str">
        <f>"412825199504213748"</f>
        <v>412825199504213748</v>
      </c>
      <c r="D72" t="str">
        <f>"248030402217"</f>
        <v>248030402217</v>
      </c>
      <c r="L72">
        <v>116</v>
      </c>
      <c r="M72" t="s">
        <v>891</v>
      </c>
      <c r="N72" t="str">
        <f>"248030402217"</f>
        <v>248030402217</v>
      </c>
      <c r="O72" t="str">
        <f>"412825199504213748"</f>
        <v>412825199504213748</v>
      </c>
    </row>
    <row r="73" customFormat="1" spans="1:15">
      <c r="A73">
        <v>117</v>
      </c>
      <c r="B73" t="s">
        <v>892</v>
      </c>
      <c r="C73" t="str">
        <f>"460007199706265803"</f>
        <v>460007199706265803</v>
      </c>
      <c r="D73" t="str">
        <f>"248030300921"</f>
        <v>248030300921</v>
      </c>
      <c r="L73">
        <v>117</v>
      </c>
      <c r="M73" t="s">
        <v>892</v>
      </c>
      <c r="N73" t="str">
        <f>"248030300921"</f>
        <v>248030300921</v>
      </c>
      <c r="O73" t="str">
        <f>"460007199706265803"</f>
        <v>460007199706265803</v>
      </c>
    </row>
    <row r="74" customFormat="1" spans="1:15">
      <c r="A74">
        <v>118</v>
      </c>
      <c r="B74" t="s">
        <v>893</v>
      </c>
      <c r="C74" t="str">
        <f>"469026199708215225"</f>
        <v>469026199708215225</v>
      </c>
      <c r="L74">
        <v>118</v>
      </c>
      <c r="M74" t="s">
        <v>893</v>
      </c>
      <c r="O74" t="str">
        <f>"469026199708215225"</f>
        <v>469026199708215225</v>
      </c>
    </row>
    <row r="75" customFormat="1" spans="1:15">
      <c r="A75">
        <v>122</v>
      </c>
      <c r="B75" t="s">
        <v>894</v>
      </c>
      <c r="C75" t="str">
        <f>"460004199406012020"</f>
        <v>460004199406012020</v>
      </c>
      <c r="D75" t="str">
        <f>"248030500125"</f>
        <v>248030500125</v>
      </c>
      <c r="L75">
        <v>122</v>
      </c>
      <c r="M75" t="s">
        <v>894</v>
      </c>
      <c r="N75" t="str">
        <f>"248030500125"</f>
        <v>248030500125</v>
      </c>
      <c r="O75" t="str">
        <f>"460004199406012020"</f>
        <v>460004199406012020</v>
      </c>
    </row>
    <row r="76" customFormat="1" spans="1:15">
      <c r="A76">
        <v>124</v>
      </c>
      <c r="B76" t="s">
        <v>895</v>
      </c>
      <c r="C76" t="str">
        <f>"460003199707087628"</f>
        <v>460003199707087628</v>
      </c>
      <c r="D76" t="str">
        <f>"248030100203"</f>
        <v>248030100203</v>
      </c>
      <c r="L76">
        <v>124</v>
      </c>
      <c r="M76" t="s">
        <v>895</v>
      </c>
      <c r="N76" t="str">
        <f>"248030100203"</f>
        <v>248030100203</v>
      </c>
      <c r="O76" t="str">
        <f>"460003199707087628"</f>
        <v>460003199707087628</v>
      </c>
    </row>
    <row r="77" customFormat="1" spans="1:15">
      <c r="A77">
        <v>126</v>
      </c>
      <c r="B77" t="s">
        <v>896</v>
      </c>
      <c r="C77" t="str">
        <f>"460026199902253016"</f>
        <v>460026199902253016</v>
      </c>
      <c r="D77" t="str">
        <f>"248030100110"</f>
        <v>248030100110</v>
      </c>
      <c r="L77">
        <v>126</v>
      </c>
      <c r="M77" t="s">
        <v>896</v>
      </c>
      <c r="N77" t="str">
        <f>"248030100110"</f>
        <v>248030100110</v>
      </c>
      <c r="O77" t="str">
        <f>"460026199902253016"</f>
        <v>460026199902253016</v>
      </c>
    </row>
    <row r="78" customFormat="1" spans="1:15">
      <c r="A78">
        <v>130</v>
      </c>
      <c r="B78" t="s">
        <v>897</v>
      </c>
      <c r="C78" t="str">
        <f>"460003200002061829"</f>
        <v>460003200002061829</v>
      </c>
      <c r="D78" t="str">
        <f>"248030202726"</f>
        <v>248030202726</v>
      </c>
      <c r="L78">
        <v>130</v>
      </c>
      <c r="M78" t="s">
        <v>897</v>
      </c>
      <c r="N78" t="str">
        <f>"248030202726"</f>
        <v>248030202726</v>
      </c>
      <c r="O78" t="str">
        <f>"460003200002061829"</f>
        <v>460003200002061829</v>
      </c>
    </row>
    <row r="79" customFormat="1" spans="1:15">
      <c r="A79">
        <v>131</v>
      </c>
      <c r="B79" t="s">
        <v>898</v>
      </c>
      <c r="C79" t="str">
        <f>"460003200109145440"</f>
        <v>460003200109145440</v>
      </c>
      <c r="D79" t="str">
        <f>"248030201712"</f>
        <v>248030201712</v>
      </c>
      <c r="L79">
        <v>131</v>
      </c>
      <c r="M79" t="s">
        <v>898</v>
      </c>
      <c r="N79" t="str">
        <f>"248030201712"</f>
        <v>248030201712</v>
      </c>
      <c r="O79" t="str">
        <f>"460003200109145440"</f>
        <v>460003200109145440</v>
      </c>
    </row>
    <row r="80" customFormat="1" spans="1:15">
      <c r="A80">
        <v>132</v>
      </c>
      <c r="B80" t="s">
        <v>899</v>
      </c>
      <c r="C80" t="str">
        <f>"360728199109162546"</f>
        <v>360728199109162546</v>
      </c>
      <c r="L80">
        <v>132</v>
      </c>
      <c r="M80" t="s">
        <v>899</v>
      </c>
      <c r="O80" t="str">
        <f>"360728199109162546"</f>
        <v>360728199109162546</v>
      </c>
    </row>
    <row r="81" customFormat="1" spans="1:15">
      <c r="A81">
        <v>133</v>
      </c>
      <c r="B81" t="s">
        <v>900</v>
      </c>
      <c r="C81" t="str">
        <f>"460027199707293422"</f>
        <v>460027199707293422</v>
      </c>
      <c r="D81" t="str">
        <f>"248030100609"</f>
        <v>248030100609</v>
      </c>
      <c r="L81">
        <v>133</v>
      </c>
      <c r="M81" t="s">
        <v>900</v>
      </c>
      <c r="N81" t="str">
        <f>"248030100609"</f>
        <v>248030100609</v>
      </c>
      <c r="O81" t="str">
        <f>"460027199707293422"</f>
        <v>460027199707293422</v>
      </c>
    </row>
    <row r="82" customFormat="1" spans="1:15">
      <c r="A82">
        <v>135</v>
      </c>
      <c r="B82" t="s">
        <v>901</v>
      </c>
      <c r="C82" t="str">
        <f>"469026200203246822"</f>
        <v>469026200203246822</v>
      </c>
      <c r="D82" t="str">
        <f>"248030202610"</f>
        <v>248030202610</v>
      </c>
      <c r="L82">
        <v>135</v>
      </c>
      <c r="M82" t="s">
        <v>901</v>
      </c>
      <c r="N82" t="str">
        <f>"248030202610"</f>
        <v>248030202610</v>
      </c>
      <c r="O82" t="str">
        <f>"469026200203246822"</f>
        <v>469026200203246822</v>
      </c>
    </row>
    <row r="83" customFormat="1" spans="1:15">
      <c r="A83">
        <v>137</v>
      </c>
      <c r="B83" t="s">
        <v>902</v>
      </c>
      <c r="C83" t="str">
        <f>"460107200012112029"</f>
        <v>460107200012112029</v>
      </c>
      <c r="D83" t="str">
        <f>"248030200118"</f>
        <v>248030200118</v>
      </c>
      <c r="L83">
        <v>137</v>
      </c>
      <c r="M83" t="s">
        <v>902</v>
      </c>
      <c r="N83" t="str">
        <f>"248030200118"</f>
        <v>248030200118</v>
      </c>
      <c r="O83" t="str">
        <f>"460107200012112029"</f>
        <v>460107200012112029</v>
      </c>
    </row>
    <row r="84" customFormat="1" spans="1:15">
      <c r="A84">
        <v>139</v>
      </c>
      <c r="B84" t="s">
        <v>903</v>
      </c>
      <c r="C84" t="str">
        <f>"460027199807250024"</f>
        <v>460027199807250024</v>
      </c>
      <c r="D84" t="str">
        <f>"248030402406"</f>
        <v>248030402406</v>
      </c>
      <c r="L84">
        <v>139</v>
      </c>
      <c r="M84" t="s">
        <v>903</v>
      </c>
      <c r="N84" t="str">
        <f>"248030402406"</f>
        <v>248030402406</v>
      </c>
      <c r="O84" t="str">
        <f>"460027199807250024"</f>
        <v>460027199807250024</v>
      </c>
    </row>
    <row r="85" customFormat="1" spans="1:15">
      <c r="A85">
        <v>141</v>
      </c>
      <c r="B85" t="s">
        <v>904</v>
      </c>
      <c r="C85" t="str">
        <f>"460006199107188125"</f>
        <v>460006199107188125</v>
      </c>
      <c r="D85" t="str">
        <f>"248030301727"</f>
        <v>248030301727</v>
      </c>
      <c r="L85">
        <v>141</v>
      </c>
      <c r="M85" t="s">
        <v>904</v>
      </c>
      <c r="N85" t="str">
        <f>"248030301727"</f>
        <v>248030301727</v>
      </c>
      <c r="O85" t="str">
        <f>"460006199107188125"</f>
        <v>460006199107188125</v>
      </c>
    </row>
    <row r="86" customFormat="1" spans="1:15">
      <c r="A86">
        <v>142</v>
      </c>
      <c r="B86" t="s">
        <v>905</v>
      </c>
      <c r="C86" t="str">
        <f>"460027200003296225"</f>
        <v>460027200003296225</v>
      </c>
      <c r="D86" t="str">
        <f>"248030503605"</f>
        <v>248030503605</v>
      </c>
      <c r="L86">
        <v>142</v>
      </c>
      <c r="M86" t="s">
        <v>905</v>
      </c>
      <c r="N86" t="str">
        <f>"248030503605"</f>
        <v>248030503605</v>
      </c>
      <c r="O86" t="str">
        <f>"460027200003296225"</f>
        <v>460027200003296225</v>
      </c>
    </row>
    <row r="87" customFormat="1" spans="1:15">
      <c r="A87">
        <v>145</v>
      </c>
      <c r="B87" t="s">
        <v>906</v>
      </c>
      <c r="C87" t="str">
        <f>"230302199601074041"</f>
        <v>230302199601074041</v>
      </c>
      <c r="D87" t="str">
        <f>"248030500230"</f>
        <v>248030500230</v>
      </c>
      <c r="L87">
        <v>145</v>
      </c>
      <c r="M87" t="s">
        <v>906</v>
      </c>
      <c r="N87" t="str">
        <f>"248030500230"</f>
        <v>248030500230</v>
      </c>
      <c r="O87" t="str">
        <f>"230302199601074041"</f>
        <v>230302199601074041</v>
      </c>
    </row>
    <row r="88" customFormat="1" spans="1:15">
      <c r="A88">
        <v>146</v>
      </c>
      <c r="B88" t="s">
        <v>907</v>
      </c>
      <c r="C88" t="str">
        <f>"469003200007151928"</f>
        <v>469003200007151928</v>
      </c>
      <c r="D88" t="str">
        <f>"248030503207"</f>
        <v>248030503207</v>
      </c>
      <c r="L88">
        <v>146</v>
      </c>
      <c r="M88" t="s">
        <v>907</v>
      </c>
      <c r="N88" t="str">
        <f>"248030503207"</f>
        <v>248030503207</v>
      </c>
      <c r="O88" t="str">
        <f>"469003200007151928"</f>
        <v>469003200007151928</v>
      </c>
    </row>
    <row r="89" customFormat="1" spans="1:15">
      <c r="A89">
        <v>147</v>
      </c>
      <c r="B89" t="s">
        <v>908</v>
      </c>
      <c r="C89" t="str">
        <f>"460025200104220323"</f>
        <v>460025200104220323</v>
      </c>
      <c r="D89" t="str">
        <f>"248030403411"</f>
        <v>248030403411</v>
      </c>
      <c r="L89">
        <v>147</v>
      </c>
      <c r="M89" t="s">
        <v>908</v>
      </c>
      <c r="N89" t="str">
        <f>"248030403411"</f>
        <v>248030403411</v>
      </c>
      <c r="O89" t="str">
        <f>"460025200104220323"</f>
        <v>460025200104220323</v>
      </c>
    </row>
    <row r="90" customFormat="1" spans="1:15">
      <c r="A90">
        <v>148</v>
      </c>
      <c r="B90" t="s">
        <v>909</v>
      </c>
      <c r="C90" t="str">
        <f>"460028199801135662"</f>
        <v>460028199801135662</v>
      </c>
      <c r="D90" t="str">
        <f>"248030402230"</f>
        <v>248030402230</v>
      </c>
      <c r="L90">
        <v>148</v>
      </c>
      <c r="M90" t="s">
        <v>909</v>
      </c>
      <c r="N90" t="str">
        <f>"248030402230"</f>
        <v>248030402230</v>
      </c>
      <c r="O90" t="str">
        <f>"460028199801135662"</f>
        <v>460028199801135662</v>
      </c>
    </row>
    <row r="91" customFormat="1" spans="1:15">
      <c r="A91">
        <v>149</v>
      </c>
      <c r="B91" t="s">
        <v>910</v>
      </c>
      <c r="C91" t="str">
        <f>"460026199612125120"</f>
        <v>460026199612125120</v>
      </c>
      <c r="D91" t="str">
        <f>"248030401917"</f>
        <v>248030401917</v>
      </c>
      <c r="L91">
        <v>149</v>
      </c>
      <c r="M91" t="s">
        <v>910</v>
      </c>
      <c r="N91" t="str">
        <f>"248030401917"</f>
        <v>248030401917</v>
      </c>
      <c r="O91" t="str">
        <f>"460026199612125120"</f>
        <v>460026199612125120</v>
      </c>
    </row>
    <row r="92" customFormat="1" spans="1:15">
      <c r="A92">
        <v>150</v>
      </c>
      <c r="B92" t="s">
        <v>31</v>
      </c>
      <c r="C92" t="str">
        <f>"460103200009273029"</f>
        <v>460103200009273029</v>
      </c>
      <c r="L92">
        <v>150</v>
      </c>
      <c r="M92" t="s">
        <v>31</v>
      </c>
      <c r="O92" t="str">
        <f>"460103200009273029"</f>
        <v>460103200009273029</v>
      </c>
    </row>
    <row r="93" customFormat="1" spans="1:15">
      <c r="A93">
        <v>152</v>
      </c>
      <c r="B93" t="s">
        <v>911</v>
      </c>
      <c r="C93" t="str">
        <f>"460003199703012047"</f>
        <v>460003199703012047</v>
      </c>
      <c r="D93" t="str">
        <f>"248030203902"</f>
        <v>248030203902</v>
      </c>
      <c r="L93">
        <v>152</v>
      </c>
      <c r="M93" t="s">
        <v>911</v>
      </c>
      <c r="N93" t="str">
        <f>"248030203902"</f>
        <v>248030203902</v>
      </c>
      <c r="O93" t="str">
        <f>"460003199703012047"</f>
        <v>460003199703012047</v>
      </c>
    </row>
    <row r="94" customFormat="1" spans="1:15">
      <c r="A94">
        <v>153</v>
      </c>
      <c r="B94" t="s">
        <v>912</v>
      </c>
      <c r="C94" t="str">
        <f>"460103199007252720"</f>
        <v>460103199007252720</v>
      </c>
      <c r="D94" t="str">
        <f>"248030100512"</f>
        <v>248030100512</v>
      </c>
      <c r="L94">
        <v>153</v>
      </c>
      <c r="M94" t="s">
        <v>912</v>
      </c>
      <c r="N94" t="str">
        <f>"248030100512"</f>
        <v>248030100512</v>
      </c>
      <c r="O94" t="str">
        <f>"460103199007252720"</f>
        <v>460103199007252720</v>
      </c>
    </row>
    <row r="95" customFormat="1" spans="1:15">
      <c r="A95">
        <v>154</v>
      </c>
      <c r="B95" t="s">
        <v>913</v>
      </c>
      <c r="C95" t="str">
        <f>"460036199901050420"</f>
        <v>460036199901050420</v>
      </c>
      <c r="L95">
        <v>154</v>
      </c>
      <c r="M95" t="s">
        <v>913</v>
      </c>
      <c r="O95" t="str">
        <f>"460036199901050420"</f>
        <v>460036199901050420</v>
      </c>
    </row>
    <row r="96" customFormat="1" spans="1:15">
      <c r="A96">
        <v>155</v>
      </c>
      <c r="B96" t="s">
        <v>914</v>
      </c>
      <c r="C96" t="str">
        <f>"460200200007045723"</f>
        <v>460200200007045723</v>
      </c>
      <c r="D96" t="str">
        <f>"248030404015"</f>
        <v>248030404015</v>
      </c>
      <c r="L96">
        <v>155</v>
      </c>
      <c r="M96" t="s">
        <v>914</v>
      </c>
      <c r="N96" t="str">
        <f>"248030404015"</f>
        <v>248030404015</v>
      </c>
      <c r="O96" t="str">
        <f>"460200200007045723"</f>
        <v>460200200007045723</v>
      </c>
    </row>
    <row r="97" customFormat="1" spans="1:15">
      <c r="A97">
        <v>156</v>
      </c>
      <c r="B97" t="s">
        <v>915</v>
      </c>
      <c r="C97" t="str">
        <f>"460003199106150214"</f>
        <v>460003199106150214</v>
      </c>
      <c r="D97" t="str">
        <f>"248030202316"</f>
        <v>248030202316</v>
      </c>
      <c r="L97">
        <v>156</v>
      </c>
      <c r="M97" t="s">
        <v>915</v>
      </c>
      <c r="N97" t="str">
        <f>"248030202316"</f>
        <v>248030202316</v>
      </c>
      <c r="O97" t="str">
        <f>"460003199106150214"</f>
        <v>460003199106150214</v>
      </c>
    </row>
    <row r="98" customFormat="1" spans="1:15">
      <c r="A98">
        <v>158</v>
      </c>
      <c r="B98" t="s">
        <v>916</v>
      </c>
      <c r="C98" t="str">
        <f>"460033199010243246"</f>
        <v>460033199010243246</v>
      </c>
      <c r="D98" t="str">
        <f>"248030400426"</f>
        <v>248030400426</v>
      </c>
      <c r="L98">
        <v>158</v>
      </c>
      <c r="M98" t="s">
        <v>916</v>
      </c>
      <c r="N98" t="str">
        <f>"248030400426"</f>
        <v>248030400426</v>
      </c>
      <c r="O98" t="str">
        <f>"460033199010243246"</f>
        <v>460033199010243246</v>
      </c>
    </row>
    <row r="99" customFormat="1" spans="1:15">
      <c r="A99">
        <v>161</v>
      </c>
      <c r="B99" t="s">
        <v>917</v>
      </c>
      <c r="C99" t="str">
        <f>"460027199511284129"</f>
        <v>460027199511284129</v>
      </c>
      <c r="L99">
        <v>161</v>
      </c>
      <c r="M99" t="s">
        <v>917</v>
      </c>
      <c r="O99" t="str">
        <f>"460027199511284129"</f>
        <v>460027199511284129</v>
      </c>
    </row>
    <row r="100" customFormat="1" spans="1:15">
      <c r="A100">
        <v>162</v>
      </c>
      <c r="B100" t="s">
        <v>918</v>
      </c>
      <c r="C100" t="str">
        <f>"460036199807012719"</f>
        <v>460036199807012719</v>
      </c>
      <c r="D100" t="str">
        <f>"248030202202"</f>
        <v>248030202202</v>
      </c>
      <c r="L100">
        <v>162</v>
      </c>
      <c r="M100" t="s">
        <v>918</v>
      </c>
      <c r="N100" t="str">
        <f>"248030202202"</f>
        <v>248030202202</v>
      </c>
      <c r="O100" t="str">
        <f>"460036199807012719"</f>
        <v>460036199807012719</v>
      </c>
    </row>
    <row r="101" customFormat="1" spans="1:15">
      <c r="A101">
        <v>163</v>
      </c>
      <c r="B101" t="s">
        <v>919</v>
      </c>
      <c r="C101" t="str">
        <f>"460200199905075347"</f>
        <v>460200199905075347</v>
      </c>
      <c r="L101">
        <v>163</v>
      </c>
      <c r="M101" t="s">
        <v>919</v>
      </c>
      <c r="O101" t="str">
        <f>"460200199905075347"</f>
        <v>460200199905075347</v>
      </c>
    </row>
    <row r="102" customFormat="1" spans="1:15">
      <c r="A102">
        <v>166</v>
      </c>
      <c r="B102" t="s">
        <v>920</v>
      </c>
      <c r="C102" t="str">
        <f>"469007200203086225"</f>
        <v>469007200203086225</v>
      </c>
      <c r="D102" t="str">
        <f>"248030403412"</f>
        <v>248030403412</v>
      </c>
      <c r="L102">
        <v>166</v>
      </c>
      <c r="M102" t="s">
        <v>920</v>
      </c>
      <c r="N102" t="str">
        <f>"248030403412"</f>
        <v>248030403412</v>
      </c>
      <c r="O102" t="str">
        <f>"469007200203086225"</f>
        <v>469007200203086225</v>
      </c>
    </row>
    <row r="103" customFormat="1" spans="1:15">
      <c r="A103">
        <v>167</v>
      </c>
      <c r="B103" t="s">
        <v>540</v>
      </c>
      <c r="C103" t="str">
        <f>"460102199411142121"</f>
        <v>460102199411142121</v>
      </c>
      <c r="D103" t="str">
        <f>"248030403422"</f>
        <v>248030403422</v>
      </c>
      <c r="L103">
        <v>167</v>
      </c>
      <c r="M103" t="s">
        <v>540</v>
      </c>
      <c r="N103" t="str">
        <f>"248030403422"</f>
        <v>248030403422</v>
      </c>
      <c r="O103" t="str">
        <f>"460102199411142121"</f>
        <v>460102199411142121</v>
      </c>
    </row>
    <row r="104" customFormat="1" spans="1:15">
      <c r="A104">
        <v>168</v>
      </c>
      <c r="B104" t="s">
        <v>921</v>
      </c>
      <c r="C104" t="str">
        <f>"412727200103061221"</f>
        <v>412727200103061221</v>
      </c>
      <c r="D104" t="str">
        <f>"248030301223"</f>
        <v>248030301223</v>
      </c>
      <c r="L104">
        <v>168</v>
      </c>
      <c r="M104" t="s">
        <v>921</v>
      </c>
      <c r="N104" t="str">
        <f>"248030301223"</f>
        <v>248030301223</v>
      </c>
      <c r="O104" t="str">
        <f>"412727200103061221"</f>
        <v>412727200103061221</v>
      </c>
    </row>
    <row r="105" customFormat="1" spans="1:15">
      <c r="A105">
        <v>170</v>
      </c>
      <c r="B105" t="s">
        <v>922</v>
      </c>
      <c r="C105" t="str">
        <f>"230506199103190441"</f>
        <v>230506199103190441</v>
      </c>
      <c r="L105">
        <v>170</v>
      </c>
      <c r="M105" t="s">
        <v>922</v>
      </c>
      <c r="O105" t="str">
        <f>"230506199103190441"</f>
        <v>230506199103190441</v>
      </c>
    </row>
    <row r="106" customFormat="1" spans="1:15">
      <c r="A106">
        <v>172</v>
      </c>
      <c r="B106" t="s">
        <v>923</v>
      </c>
      <c r="C106" t="str">
        <f>"460022199306121222"</f>
        <v>460022199306121222</v>
      </c>
      <c r="D106" t="str">
        <f>"248030302211"</f>
        <v>248030302211</v>
      </c>
      <c r="L106">
        <v>172</v>
      </c>
      <c r="M106" t="s">
        <v>923</v>
      </c>
      <c r="N106" t="str">
        <f>"248030302211"</f>
        <v>248030302211</v>
      </c>
      <c r="O106" t="str">
        <f>"460022199306121222"</f>
        <v>460022199306121222</v>
      </c>
    </row>
    <row r="107" customFormat="1" spans="1:15">
      <c r="A107">
        <v>173</v>
      </c>
      <c r="B107" t="s">
        <v>924</v>
      </c>
      <c r="C107" t="str">
        <f>"460005200104285121"</f>
        <v>460005200104285121</v>
      </c>
      <c r="D107" t="str">
        <f>"248030100712"</f>
        <v>248030100712</v>
      </c>
      <c r="L107">
        <v>173</v>
      </c>
      <c r="M107" t="s">
        <v>924</v>
      </c>
      <c r="N107" t="str">
        <f>"248030100712"</f>
        <v>248030100712</v>
      </c>
      <c r="O107" t="str">
        <f>"460005200104285121"</f>
        <v>460005200104285121</v>
      </c>
    </row>
    <row r="108" customFormat="1" spans="1:15">
      <c r="A108">
        <v>174</v>
      </c>
      <c r="B108" t="s">
        <v>925</v>
      </c>
      <c r="C108" t="str">
        <f>"440881199910013244"</f>
        <v>440881199910013244</v>
      </c>
      <c r="D108" t="str">
        <f>"248030501203"</f>
        <v>248030501203</v>
      </c>
      <c r="L108">
        <v>174</v>
      </c>
      <c r="M108" t="s">
        <v>925</v>
      </c>
      <c r="N108" t="str">
        <f>"248030501203"</f>
        <v>248030501203</v>
      </c>
      <c r="O108" t="str">
        <f>"440881199910013244"</f>
        <v>440881199910013244</v>
      </c>
    </row>
    <row r="109" customFormat="1" spans="1:15">
      <c r="A109">
        <v>175</v>
      </c>
      <c r="B109" t="s">
        <v>777</v>
      </c>
      <c r="C109" t="str">
        <f>"460033199407203883"</f>
        <v>460033199407203883</v>
      </c>
      <c r="D109" t="str">
        <f>"248030302718"</f>
        <v>248030302718</v>
      </c>
      <c r="L109">
        <v>175</v>
      </c>
      <c r="M109" t="s">
        <v>777</v>
      </c>
      <c r="N109" t="str">
        <f>"248030302718"</f>
        <v>248030302718</v>
      </c>
      <c r="O109" t="str">
        <f>"460033199407203883"</f>
        <v>460033199407203883</v>
      </c>
    </row>
    <row r="110" customFormat="1" spans="1:15">
      <c r="A110">
        <v>180</v>
      </c>
      <c r="B110" t="s">
        <v>926</v>
      </c>
      <c r="C110" t="str">
        <f>"460006200004180249"</f>
        <v>460006200004180249</v>
      </c>
      <c r="D110" t="str">
        <f>"248030501108"</f>
        <v>248030501108</v>
      </c>
      <c r="L110">
        <v>180</v>
      </c>
      <c r="M110" t="s">
        <v>926</v>
      </c>
      <c r="N110" t="str">
        <f>"248030501108"</f>
        <v>248030501108</v>
      </c>
      <c r="O110" t="str">
        <f>"460006200004180249"</f>
        <v>460006200004180249</v>
      </c>
    </row>
    <row r="111" customFormat="1" spans="1:15">
      <c r="A111">
        <v>181</v>
      </c>
      <c r="B111" t="s">
        <v>185</v>
      </c>
      <c r="C111" t="str">
        <f>"460004200107135245"</f>
        <v>460004200107135245</v>
      </c>
      <c r="D111" t="str">
        <f>"248030101112"</f>
        <v>248030101112</v>
      </c>
      <c r="L111">
        <v>181</v>
      </c>
      <c r="M111" t="s">
        <v>185</v>
      </c>
      <c r="N111" t="str">
        <f>"248030101112"</f>
        <v>248030101112</v>
      </c>
      <c r="O111" t="str">
        <f>"460004200107135245"</f>
        <v>460004200107135245</v>
      </c>
    </row>
    <row r="112" customFormat="1" spans="1:15">
      <c r="A112">
        <v>182</v>
      </c>
      <c r="B112" t="s">
        <v>927</v>
      </c>
      <c r="C112" t="str">
        <f>"460003199402192224"</f>
        <v>460003199402192224</v>
      </c>
      <c r="L112">
        <v>182</v>
      </c>
      <c r="M112" t="s">
        <v>927</v>
      </c>
      <c r="O112" t="str">
        <f>"460003199402192224"</f>
        <v>460003199402192224</v>
      </c>
    </row>
    <row r="113" customFormat="1" spans="1:15">
      <c r="A113">
        <v>186</v>
      </c>
      <c r="B113" t="s">
        <v>928</v>
      </c>
      <c r="C113" t="str">
        <f>"460028199210282820"</f>
        <v>460028199210282820</v>
      </c>
      <c r="D113" t="str">
        <f>"248030103617"</f>
        <v>248030103617</v>
      </c>
      <c r="L113">
        <v>186</v>
      </c>
      <c r="M113" t="s">
        <v>928</v>
      </c>
      <c r="N113" t="str">
        <f>"248030103617"</f>
        <v>248030103617</v>
      </c>
      <c r="O113" t="str">
        <f>"460028199210282820"</f>
        <v>460028199210282820</v>
      </c>
    </row>
    <row r="114" customFormat="1" spans="1:15">
      <c r="A114">
        <v>188</v>
      </c>
      <c r="B114" t="s">
        <v>929</v>
      </c>
      <c r="C114" t="str">
        <f>"469003199504057013"</f>
        <v>469003199504057013</v>
      </c>
      <c r="D114" t="str">
        <f>"248030201207"</f>
        <v>248030201207</v>
      </c>
      <c r="L114">
        <v>188</v>
      </c>
      <c r="M114" t="s">
        <v>929</v>
      </c>
      <c r="N114" t="str">
        <f>"248030201207"</f>
        <v>248030201207</v>
      </c>
      <c r="O114" t="str">
        <f>"469003199504057013"</f>
        <v>469003199504057013</v>
      </c>
    </row>
    <row r="115" customFormat="1" spans="1:15">
      <c r="A115">
        <v>189</v>
      </c>
      <c r="B115" t="s">
        <v>930</v>
      </c>
      <c r="C115" t="str">
        <f>"460033200310173222"</f>
        <v>460033200310173222</v>
      </c>
      <c r="D115" t="str">
        <f>"248030200725"</f>
        <v>248030200725</v>
      </c>
      <c r="L115">
        <v>189</v>
      </c>
      <c r="M115" t="s">
        <v>930</v>
      </c>
      <c r="N115" t="str">
        <f>"248030200725"</f>
        <v>248030200725</v>
      </c>
      <c r="O115" t="str">
        <f>"460033200310173222"</f>
        <v>460033200310173222</v>
      </c>
    </row>
    <row r="116" customFormat="1" spans="1:15">
      <c r="A116">
        <v>190</v>
      </c>
      <c r="B116" t="s">
        <v>931</v>
      </c>
      <c r="C116" t="str">
        <f>"460006199802260627"</f>
        <v>460006199802260627</v>
      </c>
      <c r="D116" t="str">
        <f>"248030402702"</f>
        <v>248030402702</v>
      </c>
      <c r="L116">
        <v>190</v>
      </c>
      <c r="M116" t="s">
        <v>931</v>
      </c>
      <c r="N116" t="str">
        <f>"248030402702"</f>
        <v>248030402702</v>
      </c>
      <c r="O116" t="str">
        <f>"460006199802260627"</f>
        <v>460006199802260627</v>
      </c>
    </row>
    <row r="117" customFormat="1" spans="1:15">
      <c r="A117">
        <v>191</v>
      </c>
      <c r="B117" t="s">
        <v>932</v>
      </c>
      <c r="C117" t="str">
        <f>"469023200106223427"</f>
        <v>469023200106223427</v>
      </c>
      <c r="D117" t="str">
        <f>"248030504111"</f>
        <v>248030504111</v>
      </c>
      <c r="L117">
        <v>191</v>
      </c>
      <c r="M117" t="s">
        <v>932</v>
      </c>
      <c r="N117" t="str">
        <f>"248030504111"</f>
        <v>248030504111</v>
      </c>
      <c r="O117" t="str">
        <f>"469023200106223427"</f>
        <v>469023200106223427</v>
      </c>
    </row>
    <row r="118" customFormat="1" spans="1:15">
      <c r="A118">
        <v>193</v>
      </c>
      <c r="B118" t="s">
        <v>933</v>
      </c>
      <c r="C118" t="str">
        <f>"469023199812253724"</f>
        <v>469023199812253724</v>
      </c>
      <c r="D118" t="str">
        <f>"248030104713"</f>
        <v>248030104713</v>
      </c>
      <c r="L118">
        <v>193</v>
      </c>
      <c r="M118" t="s">
        <v>933</v>
      </c>
      <c r="N118" t="str">
        <f>"248030104713"</f>
        <v>248030104713</v>
      </c>
      <c r="O118" t="str">
        <f>"469023199812253724"</f>
        <v>469023199812253724</v>
      </c>
    </row>
    <row r="119" customFormat="1" spans="1:15">
      <c r="A119">
        <v>194</v>
      </c>
      <c r="B119" t="s">
        <v>934</v>
      </c>
      <c r="C119" t="str">
        <f>"460006199509284427"</f>
        <v>460006199509284427</v>
      </c>
      <c r="D119" t="str">
        <f>"248030102806"</f>
        <v>248030102806</v>
      </c>
      <c r="L119">
        <v>194</v>
      </c>
      <c r="M119" t="s">
        <v>934</v>
      </c>
      <c r="N119" t="str">
        <f>"248030102806"</f>
        <v>248030102806</v>
      </c>
      <c r="O119" t="str">
        <f>"460006199509284427"</f>
        <v>460006199509284427</v>
      </c>
    </row>
    <row r="120" customFormat="1" spans="1:15">
      <c r="A120">
        <v>196</v>
      </c>
      <c r="B120" t="s">
        <v>935</v>
      </c>
      <c r="C120" t="str">
        <f>"469024199907132016"</f>
        <v>469024199907132016</v>
      </c>
      <c r="L120">
        <v>196</v>
      </c>
      <c r="M120" t="s">
        <v>935</v>
      </c>
      <c r="O120" t="str">
        <f>"469024199907132016"</f>
        <v>469024199907132016</v>
      </c>
    </row>
    <row r="121" customFormat="1" spans="1:15">
      <c r="A121">
        <v>197</v>
      </c>
      <c r="B121" t="s">
        <v>936</v>
      </c>
      <c r="C121" t="str">
        <f>"460300199509010627"</f>
        <v>460300199509010627</v>
      </c>
      <c r="D121" t="str">
        <f>"248030401429"</f>
        <v>248030401429</v>
      </c>
      <c r="L121">
        <v>197</v>
      </c>
      <c r="M121" t="s">
        <v>936</v>
      </c>
      <c r="N121" t="str">
        <f>"248030401429"</f>
        <v>248030401429</v>
      </c>
      <c r="O121" t="str">
        <f>"460300199509010627"</f>
        <v>460300199509010627</v>
      </c>
    </row>
    <row r="122" customFormat="1" spans="1:15">
      <c r="A122">
        <v>198</v>
      </c>
      <c r="B122" t="s">
        <v>937</v>
      </c>
      <c r="C122" t="str">
        <f>"469022199911120314"</f>
        <v>469022199911120314</v>
      </c>
      <c r="L122">
        <v>198</v>
      </c>
      <c r="M122" t="s">
        <v>937</v>
      </c>
      <c r="O122" t="str">
        <f>"469022199911120314"</f>
        <v>469022199911120314</v>
      </c>
    </row>
    <row r="123" customFormat="1" spans="1:15">
      <c r="A123">
        <v>199</v>
      </c>
      <c r="B123" t="s">
        <v>938</v>
      </c>
      <c r="C123" t="str">
        <f>"460034199005124126"</f>
        <v>460034199005124126</v>
      </c>
      <c r="D123" t="str">
        <f>"248030301128"</f>
        <v>248030301128</v>
      </c>
      <c r="L123">
        <v>199</v>
      </c>
      <c r="M123" t="s">
        <v>938</v>
      </c>
      <c r="N123" t="str">
        <f>"248030301128"</f>
        <v>248030301128</v>
      </c>
      <c r="O123" t="str">
        <f>"460034199005124126"</f>
        <v>460034199005124126</v>
      </c>
    </row>
    <row r="124" customFormat="1" spans="1:15">
      <c r="A124">
        <v>200</v>
      </c>
      <c r="B124" t="s">
        <v>656</v>
      </c>
      <c r="C124" t="str">
        <f>"210504199608271080"</f>
        <v>210504199608271080</v>
      </c>
      <c r="D124" t="str">
        <f>"248030503020"</f>
        <v>248030503020</v>
      </c>
      <c r="L124">
        <v>200</v>
      </c>
      <c r="M124" t="s">
        <v>656</v>
      </c>
      <c r="N124" t="str">
        <f>"248030503020"</f>
        <v>248030503020</v>
      </c>
      <c r="O124" t="str">
        <f>"210504199608271080"</f>
        <v>210504199608271080</v>
      </c>
    </row>
    <row r="125" customFormat="1" spans="1:15">
      <c r="A125">
        <v>201</v>
      </c>
      <c r="B125" t="s">
        <v>939</v>
      </c>
      <c r="C125" t="str">
        <f>"460006199206062747"</f>
        <v>460006199206062747</v>
      </c>
      <c r="L125">
        <v>201</v>
      </c>
      <c r="M125" t="s">
        <v>939</v>
      </c>
      <c r="O125" t="str">
        <f>"460006199206062747"</f>
        <v>460006199206062747</v>
      </c>
    </row>
    <row r="126" customFormat="1" spans="1:15">
      <c r="A126">
        <v>204</v>
      </c>
      <c r="B126" t="s">
        <v>31</v>
      </c>
      <c r="C126" t="str">
        <f>"460103199911263022"</f>
        <v>460103199911263022</v>
      </c>
      <c r="D126" t="str">
        <f>"248030203907"</f>
        <v>248030203907</v>
      </c>
      <c r="L126">
        <v>204</v>
      </c>
      <c r="M126" t="s">
        <v>31</v>
      </c>
      <c r="N126" t="str">
        <f>"248030203907"</f>
        <v>248030203907</v>
      </c>
      <c r="O126" t="str">
        <f>"460103199911263022"</f>
        <v>460103199911263022</v>
      </c>
    </row>
    <row r="127" customFormat="1" spans="1:15">
      <c r="A127">
        <v>205</v>
      </c>
      <c r="B127" t="s">
        <v>940</v>
      </c>
      <c r="C127" t="str">
        <f>"46003319981015388X"</f>
        <v>46003319981015388X</v>
      </c>
      <c r="L127">
        <v>205</v>
      </c>
      <c r="M127" t="s">
        <v>940</v>
      </c>
      <c r="O127" t="str">
        <f>"46003319981015388X"</f>
        <v>46003319981015388X</v>
      </c>
    </row>
    <row r="128" customFormat="1" spans="1:15">
      <c r="A128">
        <v>207</v>
      </c>
      <c r="B128" t="s">
        <v>941</v>
      </c>
      <c r="C128" t="str">
        <f>"510522200107119004"</f>
        <v>510522200107119004</v>
      </c>
      <c r="D128" t="str">
        <f>"248030202713"</f>
        <v>248030202713</v>
      </c>
      <c r="L128">
        <v>207</v>
      </c>
      <c r="M128" t="s">
        <v>941</v>
      </c>
      <c r="N128" t="str">
        <f>"248030202713"</f>
        <v>248030202713</v>
      </c>
      <c r="O128" t="str">
        <f>"510522200107119004"</f>
        <v>510522200107119004</v>
      </c>
    </row>
    <row r="129" customFormat="1" spans="1:15">
      <c r="A129">
        <v>208</v>
      </c>
      <c r="B129" t="s">
        <v>942</v>
      </c>
      <c r="C129" t="str">
        <f>"13100219910530462X"</f>
        <v>13100219910530462X</v>
      </c>
      <c r="D129" t="str">
        <f>"248030202606"</f>
        <v>248030202606</v>
      </c>
      <c r="L129">
        <v>208</v>
      </c>
      <c r="M129" t="s">
        <v>942</v>
      </c>
      <c r="N129" t="str">
        <f>"248030202606"</f>
        <v>248030202606</v>
      </c>
      <c r="O129" t="str">
        <f>"13100219910530462X"</f>
        <v>13100219910530462X</v>
      </c>
    </row>
    <row r="130" customFormat="1" spans="1:15">
      <c r="A130">
        <v>209</v>
      </c>
      <c r="B130" t="s">
        <v>943</v>
      </c>
      <c r="C130" t="str">
        <f>"431321200007095782"</f>
        <v>431321200007095782</v>
      </c>
      <c r="L130">
        <v>209</v>
      </c>
      <c r="M130" t="s">
        <v>943</v>
      </c>
      <c r="O130" t="str">
        <f>"431321200007095782"</f>
        <v>431321200007095782</v>
      </c>
    </row>
    <row r="131" customFormat="1" spans="1:15">
      <c r="A131">
        <v>211</v>
      </c>
      <c r="B131" t="s">
        <v>944</v>
      </c>
      <c r="C131" t="str">
        <f>"46010319970125331X"</f>
        <v>46010319970125331X</v>
      </c>
      <c r="D131" t="str">
        <f>"248030403028"</f>
        <v>248030403028</v>
      </c>
      <c r="L131">
        <v>211</v>
      </c>
      <c r="M131" t="s">
        <v>944</v>
      </c>
      <c r="N131" t="str">
        <f>"248030403028"</f>
        <v>248030403028</v>
      </c>
      <c r="O131" t="str">
        <f>"46010319970125331X"</f>
        <v>46010319970125331X</v>
      </c>
    </row>
    <row r="132" customFormat="1" spans="1:15">
      <c r="A132">
        <v>214</v>
      </c>
      <c r="B132" t="s">
        <v>945</v>
      </c>
      <c r="C132" t="str">
        <f>"440183199811113439"</f>
        <v>440183199811113439</v>
      </c>
      <c r="L132">
        <v>214</v>
      </c>
      <c r="M132" t="s">
        <v>945</v>
      </c>
      <c r="O132" t="str">
        <f>"440183199811113439"</f>
        <v>440183199811113439</v>
      </c>
    </row>
    <row r="133" customFormat="1" spans="1:15">
      <c r="A133">
        <v>215</v>
      </c>
      <c r="B133" t="s">
        <v>946</v>
      </c>
      <c r="C133" t="str">
        <f>"460006199408158149"</f>
        <v>460006199408158149</v>
      </c>
      <c r="D133" t="str">
        <f>"248030301704"</f>
        <v>248030301704</v>
      </c>
      <c r="L133">
        <v>215</v>
      </c>
      <c r="M133" t="s">
        <v>946</v>
      </c>
      <c r="N133" t="str">
        <f>"248030301704"</f>
        <v>248030301704</v>
      </c>
      <c r="O133" t="str">
        <f>"460006199408158149"</f>
        <v>460006199408158149</v>
      </c>
    </row>
    <row r="134" customFormat="1" spans="1:15">
      <c r="A134">
        <v>216</v>
      </c>
      <c r="B134" t="s">
        <v>947</v>
      </c>
      <c r="C134" t="str">
        <f>"460003200007163314"</f>
        <v>460003200007163314</v>
      </c>
      <c r="L134">
        <v>216</v>
      </c>
      <c r="M134" t="s">
        <v>947</v>
      </c>
      <c r="O134" t="str">
        <f>"460003200007163314"</f>
        <v>460003200007163314</v>
      </c>
    </row>
    <row r="135" customFormat="1" spans="1:15">
      <c r="A135">
        <v>218</v>
      </c>
      <c r="B135" t="s">
        <v>948</v>
      </c>
      <c r="C135" t="str">
        <f>"460004199807302627"</f>
        <v>460004199807302627</v>
      </c>
      <c r="D135" t="str">
        <f>"248030104401"</f>
        <v>248030104401</v>
      </c>
      <c r="L135">
        <v>218</v>
      </c>
      <c r="M135" t="s">
        <v>948</v>
      </c>
      <c r="N135" t="str">
        <f>"248030104401"</f>
        <v>248030104401</v>
      </c>
      <c r="O135" t="str">
        <f>"460004199807302627"</f>
        <v>460004199807302627</v>
      </c>
    </row>
    <row r="136" customFormat="1" spans="1:15">
      <c r="A136">
        <v>219</v>
      </c>
      <c r="B136" t="s">
        <v>949</v>
      </c>
      <c r="C136" t="str">
        <f>"65010220020828124X"</f>
        <v>65010220020828124X</v>
      </c>
      <c r="D136" t="str">
        <f>"248030202704"</f>
        <v>248030202704</v>
      </c>
      <c r="L136">
        <v>219</v>
      </c>
      <c r="M136" t="s">
        <v>949</v>
      </c>
      <c r="N136" t="str">
        <f>"248030202704"</f>
        <v>248030202704</v>
      </c>
      <c r="O136" t="str">
        <f>"65010220020828124X"</f>
        <v>65010220020828124X</v>
      </c>
    </row>
    <row r="137" customFormat="1" spans="1:15">
      <c r="A137">
        <v>220</v>
      </c>
      <c r="B137" t="s">
        <v>950</v>
      </c>
      <c r="C137" t="str">
        <f>"220602198505190958"</f>
        <v>220602198505190958</v>
      </c>
      <c r="L137">
        <v>220</v>
      </c>
      <c r="M137" t="s">
        <v>950</v>
      </c>
      <c r="O137" t="str">
        <f>"220602198505190958"</f>
        <v>220602198505190958</v>
      </c>
    </row>
    <row r="138" customFormat="1" spans="1:15">
      <c r="A138">
        <v>221</v>
      </c>
      <c r="B138" t="s">
        <v>951</v>
      </c>
      <c r="C138" t="str">
        <f>"431126199903295024"</f>
        <v>431126199903295024</v>
      </c>
      <c r="D138" t="str">
        <f>"248030501716"</f>
        <v>248030501716</v>
      </c>
      <c r="L138">
        <v>221</v>
      </c>
      <c r="M138" t="s">
        <v>951</v>
      </c>
      <c r="N138" t="str">
        <f>"248030501716"</f>
        <v>248030501716</v>
      </c>
      <c r="O138" t="str">
        <f>"431126199903295024"</f>
        <v>431126199903295024</v>
      </c>
    </row>
    <row r="139" customFormat="1" spans="1:15">
      <c r="A139">
        <v>223</v>
      </c>
      <c r="B139" t="s">
        <v>952</v>
      </c>
      <c r="C139" t="str">
        <f>"460004198607042045"</f>
        <v>460004198607042045</v>
      </c>
      <c r="D139" t="str">
        <f>"248030501309"</f>
        <v>248030501309</v>
      </c>
      <c r="L139">
        <v>223</v>
      </c>
      <c r="M139" t="s">
        <v>952</v>
      </c>
      <c r="N139" t="str">
        <f>"248030501309"</f>
        <v>248030501309</v>
      </c>
      <c r="O139" t="str">
        <f>"460004198607042045"</f>
        <v>460004198607042045</v>
      </c>
    </row>
    <row r="140" customFormat="1" spans="1:15">
      <c r="A140">
        <v>224</v>
      </c>
      <c r="B140" t="s">
        <v>953</v>
      </c>
      <c r="C140" t="str">
        <f>"460102199411033320"</f>
        <v>460102199411033320</v>
      </c>
      <c r="L140">
        <v>224</v>
      </c>
      <c r="M140" t="s">
        <v>953</v>
      </c>
      <c r="O140" t="str">
        <f>"460102199411033320"</f>
        <v>460102199411033320</v>
      </c>
    </row>
    <row r="141" customFormat="1" spans="1:15">
      <c r="A141">
        <v>225</v>
      </c>
      <c r="B141" t="s">
        <v>954</v>
      </c>
      <c r="C141" t="str">
        <f>"460003200012302825"</f>
        <v>460003200012302825</v>
      </c>
      <c r="L141">
        <v>225</v>
      </c>
      <c r="M141" t="s">
        <v>954</v>
      </c>
      <c r="O141" t="str">
        <f>"460003200012302825"</f>
        <v>460003200012302825</v>
      </c>
    </row>
    <row r="142" customFormat="1" spans="1:15">
      <c r="A142">
        <v>226</v>
      </c>
      <c r="B142" t="s">
        <v>955</v>
      </c>
      <c r="C142" t="str">
        <f>"460200199507301660"</f>
        <v>460200199507301660</v>
      </c>
      <c r="D142" t="str">
        <f>"248030200610"</f>
        <v>248030200610</v>
      </c>
      <c r="L142">
        <v>226</v>
      </c>
      <c r="M142" t="s">
        <v>955</v>
      </c>
      <c r="N142" t="str">
        <f>"248030200610"</f>
        <v>248030200610</v>
      </c>
      <c r="O142" t="str">
        <f>"460200199507301660"</f>
        <v>460200199507301660</v>
      </c>
    </row>
    <row r="143" customFormat="1" spans="1:15">
      <c r="A143">
        <v>228</v>
      </c>
      <c r="B143" t="s">
        <v>956</v>
      </c>
      <c r="C143" t="str">
        <f>"460006199906282724"</f>
        <v>460006199906282724</v>
      </c>
      <c r="D143" t="str">
        <f>"248030104804"</f>
        <v>248030104804</v>
      </c>
      <c r="L143">
        <v>228</v>
      </c>
      <c r="M143" t="s">
        <v>956</v>
      </c>
      <c r="N143" t="str">
        <f>"248030104804"</f>
        <v>248030104804</v>
      </c>
      <c r="O143" t="str">
        <f>"460006199906282724"</f>
        <v>460006199906282724</v>
      </c>
    </row>
    <row r="144" customFormat="1" spans="1:15">
      <c r="A144">
        <v>229</v>
      </c>
      <c r="B144" t="s">
        <v>957</v>
      </c>
      <c r="C144" t="str">
        <f>"460007199403124966"</f>
        <v>460007199403124966</v>
      </c>
      <c r="D144" t="str">
        <f>"248030401413"</f>
        <v>248030401413</v>
      </c>
      <c r="L144">
        <v>229</v>
      </c>
      <c r="M144" t="s">
        <v>957</v>
      </c>
      <c r="N144" t="str">
        <f>"248030401413"</f>
        <v>248030401413</v>
      </c>
      <c r="O144" t="str">
        <f>"460007199403124966"</f>
        <v>460007199403124966</v>
      </c>
    </row>
    <row r="145" customFormat="1" spans="1:15">
      <c r="A145">
        <v>230</v>
      </c>
      <c r="B145" t="s">
        <v>958</v>
      </c>
      <c r="C145" t="str">
        <f>"460200199801212503"</f>
        <v>460200199801212503</v>
      </c>
      <c r="D145" t="str">
        <f>"248030203217"</f>
        <v>248030203217</v>
      </c>
      <c r="L145">
        <v>230</v>
      </c>
      <c r="M145" t="s">
        <v>958</v>
      </c>
      <c r="N145" t="str">
        <f>"248030203217"</f>
        <v>248030203217</v>
      </c>
      <c r="O145" t="str">
        <f>"460200199801212503"</f>
        <v>460200199801212503</v>
      </c>
    </row>
    <row r="146" customFormat="1" spans="1:15">
      <c r="A146">
        <v>231</v>
      </c>
      <c r="B146" t="s">
        <v>959</v>
      </c>
      <c r="C146" t="str">
        <f>"530302200111022747"</f>
        <v>530302200111022747</v>
      </c>
      <c r="D146" t="str">
        <f>"248030402720"</f>
        <v>248030402720</v>
      </c>
      <c r="L146">
        <v>231</v>
      </c>
      <c r="M146" t="s">
        <v>959</v>
      </c>
      <c r="N146" t="str">
        <f>"248030402720"</f>
        <v>248030402720</v>
      </c>
      <c r="O146" t="str">
        <f>"530302200111022747"</f>
        <v>530302200111022747</v>
      </c>
    </row>
    <row r="147" customFormat="1" spans="1:15">
      <c r="A147">
        <v>233</v>
      </c>
      <c r="B147" t="s">
        <v>724</v>
      </c>
      <c r="C147" t="str">
        <f>"510113200004126828"</f>
        <v>510113200004126828</v>
      </c>
      <c r="D147" t="str">
        <f>"248030403015"</f>
        <v>248030403015</v>
      </c>
      <c r="L147">
        <v>233</v>
      </c>
      <c r="M147" t="s">
        <v>724</v>
      </c>
      <c r="N147" t="str">
        <f>"248030403015"</f>
        <v>248030403015</v>
      </c>
      <c r="O147" t="str">
        <f>"510113200004126828"</f>
        <v>510113200004126828</v>
      </c>
    </row>
    <row r="148" customFormat="1" spans="1:15">
      <c r="A148">
        <v>234</v>
      </c>
      <c r="B148" t="s">
        <v>960</v>
      </c>
      <c r="C148" t="str">
        <f>"421022200004164525"</f>
        <v>421022200004164525</v>
      </c>
      <c r="D148" t="str">
        <f>"248030102907"</f>
        <v>248030102907</v>
      </c>
      <c r="L148">
        <v>234</v>
      </c>
      <c r="M148" t="s">
        <v>960</v>
      </c>
      <c r="N148" t="str">
        <f>"248030102907"</f>
        <v>248030102907</v>
      </c>
      <c r="O148" t="str">
        <f>"421022200004164525"</f>
        <v>421022200004164525</v>
      </c>
    </row>
    <row r="149" customFormat="1" spans="1:15">
      <c r="A149">
        <v>235</v>
      </c>
      <c r="B149" t="s">
        <v>961</v>
      </c>
      <c r="C149" t="str">
        <f>"43022420010517652X"</f>
        <v>43022420010517652X</v>
      </c>
      <c r="D149" t="str">
        <f>"248030503007"</f>
        <v>248030503007</v>
      </c>
      <c r="L149">
        <v>235</v>
      </c>
      <c r="M149" t="s">
        <v>961</v>
      </c>
      <c r="N149" t="str">
        <f>"248030503007"</f>
        <v>248030503007</v>
      </c>
      <c r="O149" t="str">
        <f>"43022420010517652X"</f>
        <v>43022420010517652X</v>
      </c>
    </row>
    <row r="150" customFormat="1" spans="1:15">
      <c r="A150">
        <v>236</v>
      </c>
      <c r="B150" t="s">
        <v>962</v>
      </c>
      <c r="C150" t="str">
        <f>"460030200009136028"</f>
        <v>460030200009136028</v>
      </c>
      <c r="D150" t="str">
        <f>"248030503612"</f>
        <v>248030503612</v>
      </c>
      <c r="L150">
        <v>236</v>
      </c>
      <c r="M150" t="s">
        <v>962</v>
      </c>
      <c r="N150" t="str">
        <f>"248030503612"</f>
        <v>248030503612</v>
      </c>
      <c r="O150" t="str">
        <f>"460030200009136028"</f>
        <v>460030200009136028</v>
      </c>
    </row>
    <row r="151" customFormat="1" spans="1:15">
      <c r="A151">
        <v>237</v>
      </c>
      <c r="B151" t="s">
        <v>963</v>
      </c>
      <c r="C151" t="str">
        <f>"460007200006014662"</f>
        <v>460007200006014662</v>
      </c>
      <c r="L151">
        <v>237</v>
      </c>
      <c r="M151" t="s">
        <v>963</v>
      </c>
      <c r="O151" t="str">
        <f>"460007200006014662"</f>
        <v>460007200006014662</v>
      </c>
    </row>
    <row r="152" customFormat="1" spans="1:15">
      <c r="A152">
        <v>239</v>
      </c>
      <c r="B152" t="s">
        <v>964</v>
      </c>
      <c r="C152" t="str">
        <f>"460002199006054421"</f>
        <v>460002199006054421</v>
      </c>
      <c r="D152" t="str">
        <f>"248030501726"</f>
        <v>248030501726</v>
      </c>
      <c r="L152">
        <v>239</v>
      </c>
      <c r="M152" t="s">
        <v>964</v>
      </c>
      <c r="N152" t="str">
        <f>"248030501726"</f>
        <v>248030501726</v>
      </c>
      <c r="O152" t="str">
        <f>"460002199006054421"</f>
        <v>460002199006054421</v>
      </c>
    </row>
    <row r="153" customFormat="1" spans="1:15">
      <c r="A153">
        <v>241</v>
      </c>
      <c r="B153" t="s">
        <v>965</v>
      </c>
      <c r="C153" t="str">
        <f>"460026200112164524"</f>
        <v>460026200112164524</v>
      </c>
      <c r="D153" t="str">
        <f>"248030104419"</f>
        <v>248030104419</v>
      </c>
      <c r="L153">
        <v>241</v>
      </c>
      <c r="M153" t="s">
        <v>965</v>
      </c>
      <c r="N153" t="str">
        <f>"248030104419"</f>
        <v>248030104419</v>
      </c>
      <c r="O153" t="str">
        <f>"460026200112164524"</f>
        <v>460026200112164524</v>
      </c>
    </row>
    <row r="154" customFormat="1" spans="1:15">
      <c r="A154">
        <v>244</v>
      </c>
      <c r="B154" t="s">
        <v>966</v>
      </c>
      <c r="C154" t="str">
        <f>"460004199703306420"</f>
        <v>460004199703306420</v>
      </c>
      <c r="D154" t="str">
        <f>"248030302012"</f>
        <v>248030302012</v>
      </c>
      <c r="L154">
        <v>244</v>
      </c>
      <c r="M154" t="s">
        <v>966</v>
      </c>
      <c r="N154" t="str">
        <f>"248030302012"</f>
        <v>248030302012</v>
      </c>
      <c r="O154" t="str">
        <f>"460004199703306420"</f>
        <v>460004199703306420</v>
      </c>
    </row>
    <row r="155" customFormat="1" spans="1:15">
      <c r="A155">
        <v>245</v>
      </c>
      <c r="B155" t="s">
        <v>967</v>
      </c>
      <c r="C155" t="str">
        <f>"460102200009290949"</f>
        <v>460102200009290949</v>
      </c>
      <c r="D155" t="str">
        <f>"248030501117"</f>
        <v>248030501117</v>
      </c>
      <c r="L155">
        <v>245</v>
      </c>
      <c r="M155" t="s">
        <v>967</v>
      </c>
      <c r="N155" t="str">
        <f>"248030501117"</f>
        <v>248030501117</v>
      </c>
      <c r="O155" t="str">
        <f>"460102200009290949"</f>
        <v>460102200009290949</v>
      </c>
    </row>
    <row r="156" customFormat="1" spans="1:15">
      <c r="A156">
        <v>246</v>
      </c>
      <c r="B156" t="s">
        <v>968</v>
      </c>
      <c r="C156" t="str">
        <f>"460005200011116417"</f>
        <v>460005200011116417</v>
      </c>
      <c r="L156">
        <v>246</v>
      </c>
      <c r="M156" t="s">
        <v>968</v>
      </c>
      <c r="O156" t="str">
        <f>"460005200011116417"</f>
        <v>460005200011116417</v>
      </c>
    </row>
    <row r="157" customFormat="1" spans="1:15">
      <c r="A157">
        <v>247</v>
      </c>
      <c r="B157" t="s">
        <v>969</v>
      </c>
      <c r="C157" t="str">
        <f>"460006199403142041"</f>
        <v>460006199403142041</v>
      </c>
      <c r="D157" t="str">
        <f>"248030301129"</f>
        <v>248030301129</v>
      </c>
      <c r="L157">
        <v>247</v>
      </c>
      <c r="M157" t="s">
        <v>969</v>
      </c>
      <c r="N157" t="str">
        <f>"248030301129"</f>
        <v>248030301129</v>
      </c>
      <c r="O157" t="str">
        <f>"460006199403142041"</f>
        <v>460006199403142041</v>
      </c>
    </row>
    <row r="158" customFormat="1" spans="1:15">
      <c r="A158">
        <v>250</v>
      </c>
      <c r="B158" t="s">
        <v>970</v>
      </c>
      <c r="C158" t="str">
        <f>"460300199607010321"</f>
        <v>460300199607010321</v>
      </c>
      <c r="D158" t="str">
        <f>"248030203915"</f>
        <v>248030203915</v>
      </c>
      <c r="L158">
        <v>250</v>
      </c>
      <c r="M158" t="s">
        <v>970</v>
      </c>
      <c r="N158" t="str">
        <f>"248030203915"</f>
        <v>248030203915</v>
      </c>
      <c r="O158" t="str">
        <f>"460300199607010321"</f>
        <v>460300199607010321</v>
      </c>
    </row>
    <row r="159" customFormat="1" spans="1:15">
      <c r="A159">
        <v>252</v>
      </c>
      <c r="B159" t="s">
        <v>971</v>
      </c>
      <c r="C159" t="str">
        <f>"460003200009050217"</f>
        <v>460003200009050217</v>
      </c>
      <c r="D159" t="str">
        <f>"248030202304"</f>
        <v>248030202304</v>
      </c>
      <c r="L159">
        <v>252</v>
      </c>
      <c r="M159" t="s">
        <v>971</v>
      </c>
      <c r="N159" t="str">
        <f>"248030202304"</f>
        <v>248030202304</v>
      </c>
      <c r="O159" t="str">
        <f>"460003200009050217"</f>
        <v>460003200009050217</v>
      </c>
    </row>
    <row r="160" customFormat="1" spans="1:15">
      <c r="A160">
        <v>254</v>
      </c>
      <c r="B160" t="s">
        <v>972</v>
      </c>
      <c r="C160" t="str">
        <f>"412701198904210545"</f>
        <v>412701198904210545</v>
      </c>
      <c r="D160" t="str">
        <f>"248030503417"</f>
        <v>248030503417</v>
      </c>
      <c r="L160">
        <v>254</v>
      </c>
      <c r="M160" t="s">
        <v>972</v>
      </c>
      <c r="N160" t="str">
        <f>"248030503417"</f>
        <v>248030503417</v>
      </c>
      <c r="O160" t="str">
        <f>"412701198904210545"</f>
        <v>412701198904210545</v>
      </c>
    </row>
    <row r="161" customFormat="1" spans="1:15">
      <c r="A161">
        <v>255</v>
      </c>
      <c r="B161" t="s">
        <v>973</v>
      </c>
      <c r="C161" t="str">
        <f>"460006199704261626"</f>
        <v>460006199704261626</v>
      </c>
      <c r="D161" t="str">
        <f>"248030101803"</f>
        <v>248030101803</v>
      </c>
      <c r="L161">
        <v>255</v>
      </c>
      <c r="M161" t="s">
        <v>973</v>
      </c>
      <c r="N161" t="str">
        <f>"248030101803"</f>
        <v>248030101803</v>
      </c>
      <c r="O161" t="str">
        <f>"460006199704261626"</f>
        <v>460006199704261626</v>
      </c>
    </row>
    <row r="162" customFormat="1" spans="1:15">
      <c r="A162">
        <v>258</v>
      </c>
      <c r="B162" t="s">
        <v>974</v>
      </c>
      <c r="C162" t="str">
        <f>"460004199407173029"</f>
        <v>460004199407173029</v>
      </c>
      <c r="L162">
        <v>258</v>
      </c>
      <c r="M162" t="s">
        <v>974</v>
      </c>
      <c r="O162" t="str">
        <f>"460004199407173029"</f>
        <v>460004199407173029</v>
      </c>
    </row>
    <row r="163" customFormat="1" spans="1:15">
      <c r="A163">
        <v>260</v>
      </c>
      <c r="B163" t="s">
        <v>975</v>
      </c>
      <c r="C163" t="str">
        <f>"460200199609265111"</f>
        <v>460200199609265111</v>
      </c>
      <c r="D163" t="str">
        <f>"248030400209"</f>
        <v>248030400209</v>
      </c>
      <c r="L163">
        <v>260</v>
      </c>
      <c r="M163" t="s">
        <v>975</v>
      </c>
      <c r="N163" t="str">
        <f>"248030400209"</f>
        <v>248030400209</v>
      </c>
      <c r="O163" t="str">
        <f>"460200199609265111"</f>
        <v>460200199609265111</v>
      </c>
    </row>
    <row r="164" customFormat="1" spans="1:15">
      <c r="A164">
        <v>263</v>
      </c>
      <c r="B164" t="s">
        <v>976</v>
      </c>
      <c r="C164" t="str">
        <f>"460003199503162665"</f>
        <v>460003199503162665</v>
      </c>
      <c r="D164" t="str">
        <f>"248030502704"</f>
        <v>248030502704</v>
      </c>
      <c r="L164">
        <v>263</v>
      </c>
      <c r="M164" t="s">
        <v>976</v>
      </c>
      <c r="N164" t="str">
        <f>"248030502704"</f>
        <v>248030502704</v>
      </c>
      <c r="O164" t="str">
        <f>"460003199503162665"</f>
        <v>460003199503162665</v>
      </c>
    </row>
    <row r="165" customFormat="1" spans="1:15">
      <c r="A165">
        <v>265</v>
      </c>
      <c r="B165" t="s">
        <v>977</v>
      </c>
      <c r="C165" t="str">
        <f>"460102199608010923"</f>
        <v>460102199608010923</v>
      </c>
      <c r="D165" t="str">
        <f>"248030502214"</f>
        <v>248030502214</v>
      </c>
      <c r="L165">
        <v>265</v>
      </c>
      <c r="M165" t="s">
        <v>977</v>
      </c>
      <c r="N165" t="str">
        <f>"248030502214"</f>
        <v>248030502214</v>
      </c>
      <c r="O165" t="str">
        <f>"460102199608010923"</f>
        <v>460102199608010923</v>
      </c>
    </row>
    <row r="166" customFormat="1" spans="1:15">
      <c r="A166">
        <v>266</v>
      </c>
      <c r="B166" t="s">
        <v>978</v>
      </c>
      <c r="C166" t="str">
        <f>"360312199603200525"</f>
        <v>360312199603200525</v>
      </c>
      <c r="D166" t="str">
        <f>"248030203002"</f>
        <v>248030203002</v>
      </c>
      <c r="L166">
        <v>266</v>
      </c>
      <c r="M166" t="s">
        <v>978</v>
      </c>
      <c r="N166" t="str">
        <f>"248030203002"</f>
        <v>248030203002</v>
      </c>
      <c r="O166" t="str">
        <f>"360312199603200525"</f>
        <v>360312199603200525</v>
      </c>
    </row>
    <row r="167" customFormat="1" spans="1:15">
      <c r="A167">
        <v>267</v>
      </c>
      <c r="B167" t="s">
        <v>979</v>
      </c>
      <c r="C167" t="str">
        <f>"460001200210280724"</f>
        <v>460001200210280724</v>
      </c>
      <c r="D167" t="str">
        <f>"248030104830"</f>
        <v>248030104830</v>
      </c>
      <c r="L167">
        <v>267</v>
      </c>
      <c r="M167" t="s">
        <v>979</v>
      </c>
      <c r="N167" t="str">
        <f>"248030104830"</f>
        <v>248030104830</v>
      </c>
      <c r="O167" t="str">
        <f>"460001200210280724"</f>
        <v>460001200210280724</v>
      </c>
    </row>
    <row r="168" customFormat="1" spans="1:15">
      <c r="A168">
        <v>268</v>
      </c>
      <c r="B168" t="s">
        <v>980</v>
      </c>
      <c r="C168" t="str">
        <f>"431126200410030189"</f>
        <v>431126200410030189</v>
      </c>
      <c r="D168" t="str">
        <f>"248030503017"</f>
        <v>248030503017</v>
      </c>
      <c r="L168">
        <v>268</v>
      </c>
      <c r="M168" t="s">
        <v>980</v>
      </c>
      <c r="N168" t="str">
        <f>"248030503017"</f>
        <v>248030503017</v>
      </c>
      <c r="O168" t="str">
        <f>"431126200410030189"</f>
        <v>431126200410030189</v>
      </c>
    </row>
    <row r="169" customFormat="1" spans="1:15">
      <c r="A169">
        <v>269</v>
      </c>
      <c r="B169" t="s">
        <v>981</v>
      </c>
      <c r="C169" t="str">
        <f>"460033199502063882"</f>
        <v>460033199502063882</v>
      </c>
      <c r="D169" t="str">
        <f>"248030302330"</f>
        <v>248030302330</v>
      </c>
      <c r="L169">
        <v>269</v>
      </c>
      <c r="M169" t="s">
        <v>981</v>
      </c>
      <c r="N169" t="str">
        <f>"248030302330"</f>
        <v>248030302330</v>
      </c>
      <c r="O169" t="str">
        <f>"460033199502063882"</f>
        <v>460033199502063882</v>
      </c>
    </row>
    <row r="170" customFormat="1" spans="1:15">
      <c r="A170">
        <v>270</v>
      </c>
      <c r="B170" t="s">
        <v>982</v>
      </c>
      <c r="C170" t="str">
        <f>"441623199502053745"</f>
        <v>441623199502053745</v>
      </c>
      <c r="L170">
        <v>270</v>
      </c>
      <c r="M170" t="s">
        <v>982</v>
      </c>
      <c r="O170" t="str">
        <f>"441623199502053745"</f>
        <v>441623199502053745</v>
      </c>
    </row>
    <row r="171" customFormat="1" spans="1:15">
      <c r="A171">
        <v>271</v>
      </c>
      <c r="B171" t="s">
        <v>983</v>
      </c>
      <c r="C171" t="str">
        <f>"460006200207285219"</f>
        <v>460006200207285219</v>
      </c>
      <c r="D171" t="str">
        <f>"248030104920"</f>
        <v>248030104920</v>
      </c>
      <c r="L171">
        <v>271</v>
      </c>
      <c r="M171" t="s">
        <v>983</v>
      </c>
      <c r="N171" t="str">
        <f>"248030104920"</f>
        <v>248030104920</v>
      </c>
      <c r="O171" t="str">
        <f>"460006200207285219"</f>
        <v>460006200207285219</v>
      </c>
    </row>
    <row r="172" customFormat="1" spans="1:15">
      <c r="A172">
        <v>272</v>
      </c>
      <c r="B172" t="s">
        <v>984</v>
      </c>
      <c r="C172" t="str">
        <f>"460006199104021645"</f>
        <v>460006199104021645</v>
      </c>
      <c r="D172" t="str">
        <f>"248030400217"</f>
        <v>248030400217</v>
      </c>
      <c r="L172">
        <v>272</v>
      </c>
      <c r="M172" t="s">
        <v>984</v>
      </c>
      <c r="N172" t="str">
        <f>"248030400217"</f>
        <v>248030400217</v>
      </c>
      <c r="O172" t="str">
        <f>"460006199104021645"</f>
        <v>460006199104021645</v>
      </c>
    </row>
    <row r="173" customFormat="1" spans="1:15">
      <c r="A173">
        <v>274</v>
      </c>
      <c r="B173" t="s">
        <v>985</v>
      </c>
      <c r="C173" t="str">
        <f>"460007200110090825"</f>
        <v>460007200110090825</v>
      </c>
      <c r="D173" t="str">
        <f>"248030203929"</f>
        <v>248030203929</v>
      </c>
      <c r="L173">
        <v>274</v>
      </c>
      <c r="M173" t="s">
        <v>985</v>
      </c>
      <c r="N173" t="str">
        <f>"248030203929"</f>
        <v>248030203929</v>
      </c>
      <c r="O173" t="str">
        <f>"460007200110090825"</f>
        <v>460007200110090825</v>
      </c>
    </row>
    <row r="174" customFormat="1" spans="1:15">
      <c r="A174">
        <v>275</v>
      </c>
      <c r="B174" t="s">
        <v>986</v>
      </c>
      <c r="C174" t="str">
        <f>"460103200010181527"</f>
        <v>460103200010181527</v>
      </c>
      <c r="D174" t="str">
        <f>"248030203101"</f>
        <v>248030203101</v>
      </c>
      <c r="L174">
        <v>275</v>
      </c>
      <c r="M174" t="s">
        <v>986</v>
      </c>
      <c r="N174" t="str">
        <f>"248030203101"</f>
        <v>248030203101</v>
      </c>
      <c r="O174" t="str">
        <f>"460103200010181527"</f>
        <v>460103200010181527</v>
      </c>
    </row>
    <row r="175" customFormat="1" spans="1:15">
      <c r="A175">
        <v>280</v>
      </c>
      <c r="B175" t="s">
        <v>987</v>
      </c>
      <c r="C175" t="str">
        <f>"469006200006052927"</f>
        <v>469006200006052927</v>
      </c>
      <c r="D175" t="str">
        <f>"248030103506"</f>
        <v>248030103506</v>
      </c>
      <c r="L175">
        <v>280</v>
      </c>
      <c r="M175" t="s">
        <v>987</v>
      </c>
      <c r="N175" t="str">
        <f>"248030103506"</f>
        <v>248030103506</v>
      </c>
      <c r="O175" t="str">
        <f>"469006200006052927"</f>
        <v>469006200006052927</v>
      </c>
    </row>
    <row r="176" customFormat="1" spans="1:15">
      <c r="A176">
        <v>281</v>
      </c>
      <c r="B176" t="s">
        <v>988</v>
      </c>
      <c r="C176" t="str">
        <f>"460031199306195228"</f>
        <v>460031199306195228</v>
      </c>
      <c r="D176" t="str">
        <f>"248030501430"</f>
        <v>248030501430</v>
      </c>
      <c r="L176">
        <v>281</v>
      </c>
      <c r="M176" t="s">
        <v>988</v>
      </c>
      <c r="N176" t="str">
        <f>"248030501430"</f>
        <v>248030501430</v>
      </c>
      <c r="O176" t="str">
        <f>"460031199306195228"</f>
        <v>460031199306195228</v>
      </c>
    </row>
    <row r="177" customFormat="1" spans="1:15">
      <c r="A177">
        <v>282</v>
      </c>
      <c r="B177" t="s">
        <v>989</v>
      </c>
      <c r="C177" t="str">
        <f>"460003200102206829"</f>
        <v>460003200102206829</v>
      </c>
      <c r="D177" t="str">
        <f>"248030102830"</f>
        <v>248030102830</v>
      </c>
      <c r="L177">
        <v>282</v>
      </c>
      <c r="M177" t="s">
        <v>989</v>
      </c>
      <c r="N177" t="str">
        <f>"248030102830"</f>
        <v>248030102830</v>
      </c>
      <c r="O177" t="str">
        <f>"460003200102206829"</f>
        <v>460003200102206829</v>
      </c>
    </row>
    <row r="178" customFormat="1" spans="1:15">
      <c r="A178">
        <v>283</v>
      </c>
      <c r="B178" t="s">
        <v>990</v>
      </c>
      <c r="C178" t="str">
        <f>"460007199308164388"</f>
        <v>460007199308164388</v>
      </c>
      <c r="D178" t="str">
        <f>"248030200228"</f>
        <v>248030200228</v>
      </c>
      <c r="L178">
        <v>283</v>
      </c>
      <c r="M178" t="s">
        <v>990</v>
      </c>
      <c r="N178" t="str">
        <f>"248030200228"</f>
        <v>248030200228</v>
      </c>
      <c r="O178" t="str">
        <f>"460007199308164388"</f>
        <v>460007199308164388</v>
      </c>
    </row>
    <row r="179" customFormat="1" spans="1:15">
      <c r="A179">
        <v>284</v>
      </c>
      <c r="B179" t="s">
        <v>991</v>
      </c>
      <c r="C179" t="str">
        <f>"460006199209300229"</f>
        <v>460006199209300229</v>
      </c>
      <c r="D179" t="str">
        <f>"248030203520"</f>
        <v>248030203520</v>
      </c>
      <c r="L179">
        <v>284</v>
      </c>
      <c r="M179" t="s">
        <v>991</v>
      </c>
      <c r="N179" t="str">
        <f>"248030203520"</f>
        <v>248030203520</v>
      </c>
      <c r="O179" t="str">
        <f>"460006199209300229"</f>
        <v>460006199209300229</v>
      </c>
    </row>
    <row r="180" customFormat="1" spans="1:15">
      <c r="A180">
        <v>286</v>
      </c>
      <c r="B180" t="s">
        <v>992</v>
      </c>
      <c r="C180" t="str">
        <f>"460027199009123725"</f>
        <v>460027199009123725</v>
      </c>
      <c r="D180" t="str">
        <f>"248030402325"</f>
        <v>248030402325</v>
      </c>
      <c r="L180">
        <v>286</v>
      </c>
      <c r="M180" t="s">
        <v>992</v>
      </c>
      <c r="N180" t="str">
        <f>"248030402325"</f>
        <v>248030402325</v>
      </c>
      <c r="O180" t="str">
        <f>"460027199009123725"</f>
        <v>460027199009123725</v>
      </c>
    </row>
    <row r="181" customFormat="1" spans="1:15">
      <c r="A181">
        <v>287</v>
      </c>
      <c r="B181" t="s">
        <v>503</v>
      </c>
      <c r="C181" t="str">
        <f>"370683200104092215"</f>
        <v>370683200104092215</v>
      </c>
      <c r="D181" t="str">
        <f>"248030100116"</f>
        <v>248030100116</v>
      </c>
      <c r="L181">
        <v>287</v>
      </c>
      <c r="M181" t="s">
        <v>503</v>
      </c>
      <c r="N181" t="str">
        <f>"248030100116"</f>
        <v>248030100116</v>
      </c>
      <c r="O181" t="str">
        <f>"370683200104092215"</f>
        <v>370683200104092215</v>
      </c>
    </row>
    <row r="182" customFormat="1" spans="1:15">
      <c r="A182">
        <v>288</v>
      </c>
      <c r="B182" t="s">
        <v>993</v>
      </c>
      <c r="C182" t="str">
        <f>"460200199710190273"</f>
        <v>460200199710190273</v>
      </c>
      <c r="D182" t="str">
        <f>"248030100827"</f>
        <v>248030100827</v>
      </c>
      <c r="L182">
        <v>288</v>
      </c>
      <c r="M182" t="s">
        <v>993</v>
      </c>
      <c r="N182" t="str">
        <f>"248030100827"</f>
        <v>248030100827</v>
      </c>
      <c r="O182" t="str">
        <f>"460200199710190273"</f>
        <v>460200199710190273</v>
      </c>
    </row>
    <row r="183" customFormat="1" spans="1:15">
      <c r="A183">
        <v>289</v>
      </c>
      <c r="B183" t="s">
        <v>994</v>
      </c>
      <c r="C183" t="str">
        <f>"460107200010042020"</f>
        <v>460107200010042020</v>
      </c>
      <c r="D183" t="str">
        <f>"248030403030"</f>
        <v>248030403030</v>
      </c>
      <c r="L183">
        <v>289</v>
      </c>
      <c r="M183" t="s">
        <v>994</v>
      </c>
      <c r="N183" t="str">
        <f>"248030403030"</f>
        <v>248030403030</v>
      </c>
      <c r="O183" t="str">
        <f>"460107200010042020"</f>
        <v>460107200010042020</v>
      </c>
    </row>
    <row r="184" customFormat="1" spans="1:15">
      <c r="A184">
        <v>290</v>
      </c>
      <c r="B184" t="s">
        <v>995</v>
      </c>
      <c r="C184" t="str">
        <f>"421127199007205638"</f>
        <v>421127199007205638</v>
      </c>
      <c r="D184" t="str">
        <f>"248030500728"</f>
        <v>248030500728</v>
      </c>
      <c r="L184">
        <v>290</v>
      </c>
      <c r="M184" t="s">
        <v>995</v>
      </c>
      <c r="N184" t="str">
        <f>"248030500728"</f>
        <v>248030500728</v>
      </c>
      <c r="O184" t="str">
        <f>"421127199007205638"</f>
        <v>421127199007205638</v>
      </c>
    </row>
    <row r="185" customFormat="1" spans="1:15">
      <c r="A185">
        <v>293</v>
      </c>
      <c r="B185" t="s">
        <v>996</v>
      </c>
      <c r="C185" t="str">
        <f>"230121200202280028"</f>
        <v>230121200202280028</v>
      </c>
      <c r="D185" t="str">
        <f>"248030103904"</f>
        <v>248030103904</v>
      </c>
      <c r="L185">
        <v>293</v>
      </c>
      <c r="M185" t="s">
        <v>996</v>
      </c>
      <c r="N185" t="str">
        <f>"248030103904"</f>
        <v>248030103904</v>
      </c>
      <c r="O185" t="str">
        <f>"230121200202280028"</f>
        <v>230121200202280028</v>
      </c>
    </row>
    <row r="186" customFormat="1" spans="1:15">
      <c r="A186">
        <v>294</v>
      </c>
      <c r="B186" t="s">
        <v>997</v>
      </c>
      <c r="C186" t="str">
        <f>"460006200103264421"</f>
        <v>460006200103264421</v>
      </c>
      <c r="D186" t="str">
        <f>"248030103811"</f>
        <v>248030103811</v>
      </c>
      <c r="L186">
        <v>294</v>
      </c>
      <c r="M186" t="s">
        <v>997</v>
      </c>
      <c r="N186" t="str">
        <f>"248030103811"</f>
        <v>248030103811</v>
      </c>
      <c r="O186" t="str">
        <f>"460006200103264421"</f>
        <v>460006200103264421</v>
      </c>
    </row>
    <row r="187" customFormat="1" spans="1:15">
      <c r="A187">
        <v>295</v>
      </c>
      <c r="B187" t="s">
        <v>998</v>
      </c>
      <c r="C187" t="str">
        <f>"460003200008173442"</f>
        <v>460003200008173442</v>
      </c>
      <c r="D187" t="str">
        <f>"248030500610"</f>
        <v>248030500610</v>
      </c>
      <c r="L187">
        <v>295</v>
      </c>
      <c r="M187" t="s">
        <v>998</v>
      </c>
      <c r="N187" t="str">
        <f>"248030500610"</f>
        <v>248030500610</v>
      </c>
      <c r="O187" t="str">
        <f>"460003200008173442"</f>
        <v>460003200008173442</v>
      </c>
    </row>
    <row r="188" customFormat="1" spans="1:15">
      <c r="A188">
        <v>297</v>
      </c>
      <c r="B188" t="s">
        <v>999</v>
      </c>
      <c r="C188" t="str">
        <f>"469023200203252326"</f>
        <v>469023200203252326</v>
      </c>
      <c r="D188" t="str">
        <f>"248030300819"</f>
        <v>248030300819</v>
      </c>
      <c r="L188">
        <v>297</v>
      </c>
      <c r="M188" t="s">
        <v>999</v>
      </c>
      <c r="N188" t="str">
        <f>"248030300819"</f>
        <v>248030300819</v>
      </c>
      <c r="O188" t="str">
        <f>"469023200203252326"</f>
        <v>469023200203252326</v>
      </c>
    </row>
    <row r="189" customFormat="1" spans="1:15">
      <c r="A189">
        <v>299</v>
      </c>
      <c r="B189" t="s">
        <v>1000</v>
      </c>
      <c r="C189" t="str">
        <f>"460003199811010233"</f>
        <v>460003199811010233</v>
      </c>
      <c r="D189" t="str">
        <f>"248030103903"</f>
        <v>248030103903</v>
      </c>
      <c r="L189">
        <v>299</v>
      </c>
      <c r="M189" t="s">
        <v>1000</v>
      </c>
      <c r="N189" t="str">
        <f>"248030103903"</f>
        <v>248030103903</v>
      </c>
      <c r="O189" t="str">
        <f>"460003199811010233"</f>
        <v>460003199811010233</v>
      </c>
    </row>
    <row r="190" customFormat="1" spans="1:15">
      <c r="A190">
        <v>300</v>
      </c>
      <c r="B190" t="s">
        <v>508</v>
      </c>
      <c r="C190" t="str">
        <f>"460005199908171722"</f>
        <v>460005199908171722</v>
      </c>
      <c r="D190" t="str">
        <f>"248030100220"</f>
        <v>248030100220</v>
      </c>
      <c r="L190">
        <v>300</v>
      </c>
      <c r="M190" t="s">
        <v>508</v>
      </c>
      <c r="N190" t="str">
        <f>"248030100220"</f>
        <v>248030100220</v>
      </c>
      <c r="O190" t="str">
        <f>"460005199908171722"</f>
        <v>460005199908171722</v>
      </c>
    </row>
    <row r="191" customFormat="1" spans="1:15">
      <c r="A191">
        <v>301</v>
      </c>
      <c r="B191" t="s">
        <v>1001</v>
      </c>
      <c r="C191" t="str">
        <f>"460002200112035238"</f>
        <v>460002200112035238</v>
      </c>
      <c r="D191" t="str">
        <f>"248030400313"</f>
        <v>248030400313</v>
      </c>
      <c r="L191">
        <v>301</v>
      </c>
      <c r="M191" t="s">
        <v>1001</v>
      </c>
      <c r="N191" t="str">
        <f>"248030400313"</f>
        <v>248030400313</v>
      </c>
      <c r="O191" t="str">
        <f>"460002200112035238"</f>
        <v>460002200112035238</v>
      </c>
    </row>
    <row r="192" customFormat="1" spans="1:15">
      <c r="A192">
        <v>302</v>
      </c>
      <c r="B192" t="s">
        <v>1002</v>
      </c>
      <c r="C192" t="str">
        <f>"460003199412076040"</f>
        <v>460003199412076040</v>
      </c>
      <c r="D192" t="str">
        <f>"248030100528"</f>
        <v>248030100528</v>
      </c>
      <c r="L192">
        <v>302</v>
      </c>
      <c r="M192" t="s">
        <v>1002</v>
      </c>
      <c r="N192" t="str">
        <f>"248030100528"</f>
        <v>248030100528</v>
      </c>
      <c r="O192" t="str">
        <f>"460003199412076040"</f>
        <v>460003199412076040</v>
      </c>
    </row>
    <row r="193" customFormat="1" spans="1:15">
      <c r="A193">
        <v>305</v>
      </c>
      <c r="B193" t="s">
        <v>1003</v>
      </c>
      <c r="C193" t="str">
        <f>"460026200205200010"</f>
        <v>460026200205200010</v>
      </c>
      <c r="D193" t="str">
        <f>"248030400228"</f>
        <v>248030400228</v>
      </c>
      <c r="L193">
        <v>305</v>
      </c>
      <c r="M193" t="s">
        <v>1003</v>
      </c>
      <c r="N193" t="str">
        <f>"248030400228"</f>
        <v>248030400228</v>
      </c>
      <c r="O193" t="str">
        <f>"460026200205200010"</f>
        <v>460026200205200010</v>
      </c>
    </row>
    <row r="194" customFormat="1" spans="1:15">
      <c r="A194">
        <v>306</v>
      </c>
      <c r="B194" t="s">
        <v>1004</v>
      </c>
      <c r="C194" t="str">
        <f>"411729199909126609"</f>
        <v>411729199909126609</v>
      </c>
      <c r="D194" t="str">
        <f>"248030101016"</f>
        <v>248030101016</v>
      </c>
      <c r="L194">
        <v>306</v>
      </c>
      <c r="M194" t="s">
        <v>1004</v>
      </c>
      <c r="N194" t="str">
        <f>"248030101016"</f>
        <v>248030101016</v>
      </c>
      <c r="O194" t="str">
        <f>"411729199909126609"</f>
        <v>411729199909126609</v>
      </c>
    </row>
    <row r="195" customFormat="1" spans="1:15">
      <c r="A195">
        <v>307</v>
      </c>
      <c r="B195" t="s">
        <v>1005</v>
      </c>
      <c r="C195" t="str">
        <f>"231084199701303744"</f>
        <v>231084199701303744</v>
      </c>
      <c r="L195">
        <v>307</v>
      </c>
      <c r="M195" t="s">
        <v>1005</v>
      </c>
      <c r="O195" t="str">
        <f>"231084199701303744"</f>
        <v>231084199701303744</v>
      </c>
    </row>
    <row r="196" customFormat="1" spans="1:15">
      <c r="A196">
        <v>308</v>
      </c>
      <c r="B196" t="s">
        <v>1006</v>
      </c>
      <c r="C196" t="str">
        <f>"460025200111164227"</f>
        <v>460025200111164227</v>
      </c>
      <c r="D196" t="str">
        <f>"248030302115"</f>
        <v>248030302115</v>
      </c>
      <c r="L196">
        <v>308</v>
      </c>
      <c r="M196" t="s">
        <v>1006</v>
      </c>
      <c r="N196" t="str">
        <f>"248030302115"</f>
        <v>248030302115</v>
      </c>
      <c r="O196" t="str">
        <f>"460025200111164227"</f>
        <v>460025200111164227</v>
      </c>
    </row>
    <row r="197" customFormat="1" spans="1:15">
      <c r="A197">
        <v>311</v>
      </c>
      <c r="B197" t="s">
        <v>1007</v>
      </c>
      <c r="C197" t="str">
        <f>"460031199812096425"</f>
        <v>460031199812096425</v>
      </c>
      <c r="D197" t="str">
        <f>"248030501211"</f>
        <v>248030501211</v>
      </c>
      <c r="L197">
        <v>311</v>
      </c>
      <c r="M197" t="s">
        <v>1007</v>
      </c>
      <c r="N197" t="str">
        <f>"248030501211"</f>
        <v>248030501211</v>
      </c>
      <c r="O197" t="str">
        <f>"460031199812096425"</f>
        <v>460031199812096425</v>
      </c>
    </row>
    <row r="198" customFormat="1" spans="1:15">
      <c r="A198">
        <v>313</v>
      </c>
      <c r="B198" t="s">
        <v>1008</v>
      </c>
      <c r="C198" t="str">
        <f>"429004199106011721"</f>
        <v>429004199106011721</v>
      </c>
      <c r="D198" t="str">
        <f>"248030502627"</f>
        <v>248030502627</v>
      </c>
      <c r="L198">
        <v>313</v>
      </c>
      <c r="M198" t="s">
        <v>1008</v>
      </c>
      <c r="N198" t="str">
        <f>"248030502627"</f>
        <v>248030502627</v>
      </c>
      <c r="O198" t="str">
        <f>"429004199106011721"</f>
        <v>429004199106011721</v>
      </c>
    </row>
    <row r="199" customFormat="1" spans="1:15">
      <c r="A199">
        <v>314</v>
      </c>
      <c r="B199" t="s">
        <v>1009</v>
      </c>
      <c r="C199" t="str">
        <f>"460003199508182040"</f>
        <v>460003199508182040</v>
      </c>
      <c r="D199" t="str">
        <f>"248030401508"</f>
        <v>248030401508</v>
      </c>
      <c r="L199">
        <v>314</v>
      </c>
      <c r="M199" t="s">
        <v>1009</v>
      </c>
      <c r="N199" t="str">
        <f>"248030401508"</f>
        <v>248030401508</v>
      </c>
      <c r="O199" t="str">
        <f>"460003199508182040"</f>
        <v>460003199508182040</v>
      </c>
    </row>
    <row r="200" customFormat="1" spans="1:15">
      <c r="A200">
        <v>315</v>
      </c>
      <c r="B200" t="s">
        <v>1010</v>
      </c>
      <c r="C200" t="str">
        <f>"52212519970404072X"</f>
        <v>52212519970404072X</v>
      </c>
      <c r="L200">
        <v>315</v>
      </c>
      <c r="M200" t="s">
        <v>1010</v>
      </c>
      <c r="O200" t="str">
        <f>"52212519970404072X"</f>
        <v>52212519970404072X</v>
      </c>
    </row>
    <row r="201" customFormat="1" spans="1:15">
      <c r="A201">
        <v>316</v>
      </c>
      <c r="B201" t="s">
        <v>1011</v>
      </c>
      <c r="C201" t="str">
        <f>"460003199805093028"</f>
        <v>460003199805093028</v>
      </c>
      <c r="D201" t="str">
        <f>"248030503209"</f>
        <v>248030503209</v>
      </c>
      <c r="L201">
        <v>316</v>
      </c>
      <c r="M201" t="s">
        <v>1011</v>
      </c>
      <c r="N201" t="str">
        <f>"248030503209"</f>
        <v>248030503209</v>
      </c>
      <c r="O201" t="str">
        <f>"460003199805093028"</f>
        <v>460003199805093028</v>
      </c>
    </row>
    <row r="202" customFormat="1" spans="1:15">
      <c r="A202">
        <v>317</v>
      </c>
      <c r="B202" t="s">
        <v>1012</v>
      </c>
      <c r="C202" t="str">
        <f>"460025199502124526"</f>
        <v>460025199502124526</v>
      </c>
      <c r="D202" t="str">
        <f>"248030200319"</f>
        <v>248030200319</v>
      </c>
      <c r="L202">
        <v>317</v>
      </c>
      <c r="M202" t="s">
        <v>1012</v>
      </c>
      <c r="N202" t="str">
        <f>"248030200319"</f>
        <v>248030200319</v>
      </c>
      <c r="O202" t="str">
        <f>"460025199502124526"</f>
        <v>460025199502124526</v>
      </c>
    </row>
    <row r="203" customFormat="1" spans="1:15">
      <c r="A203">
        <v>318</v>
      </c>
      <c r="B203" t="s">
        <v>1013</v>
      </c>
      <c r="C203" t="str">
        <f>"46000319970520662X"</f>
        <v>46000319970520662X</v>
      </c>
      <c r="D203" t="str">
        <f>"248030101227"</f>
        <v>248030101227</v>
      </c>
      <c r="L203">
        <v>318</v>
      </c>
      <c r="M203" t="s">
        <v>1013</v>
      </c>
      <c r="N203" t="str">
        <f>"248030101227"</f>
        <v>248030101227</v>
      </c>
      <c r="O203" t="str">
        <f>"46000319970520662X"</f>
        <v>46000319970520662X</v>
      </c>
    </row>
    <row r="204" customFormat="1" spans="1:15">
      <c r="A204">
        <v>320</v>
      </c>
      <c r="B204" t="s">
        <v>1014</v>
      </c>
      <c r="C204" t="str">
        <f>"460003200205252422"</f>
        <v>460003200205252422</v>
      </c>
      <c r="D204" t="str">
        <f>"248030403201"</f>
        <v>248030403201</v>
      </c>
      <c r="L204">
        <v>320</v>
      </c>
      <c r="M204" t="s">
        <v>1014</v>
      </c>
      <c r="N204" t="str">
        <f>"248030403201"</f>
        <v>248030403201</v>
      </c>
      <c r="O204" t="str">
        <f>"460003200205252422"</f>
        <v>460003200205252422</v>
      </c>
    </row>
    <row r="205" customFormat="1" spans="1:15">
      <c r="A205">
        <v>321</v>
      </c>
      <c r="B205" t="s">
        <v>1015</v>
      </c>
      <c r="C205" t="str">
        <f>"460035199912030023"</f>
        <v>460035199912030023</v>
      </c>
      <c r="D205" t="str">
        <f>"248030502714"</f>
        <v>248030502714</v>
      </c>
      <c r="L205">
        <v>321</v>
      </c>
      <c r="M205" t="s">
        <v>1015</v>
      </c>
      <c r="N205" t="str">
        <f>"248030502714"</f>
        <v>248030502714</v>
      </c>
      <c r="O205" t="str">
        <f>"460035199912030023"</f>
        <v>460035199912030023</v>
      </c>
    </row>
    <row r="206" customFormat="1" spans="1:15">
      <c r="A206">
        <v>323</v>
      </c>
      <c r="B206" t="s">
        <v>1016</v>
      </c>
      <c r="C206" t="str">
        <f>"460003199402252629"</f>
        <v>460003199402252629</v>
      </c>
      <c r="D206" t="str">
        <f>"248030401302"</f>
        <v>248030401302</v>
      </c>
      <c r="L206">
        <v>323</v>
      </c>
      <c r="M206" t="s">
        <v>1016</v>
      </c>
      <c r="N206" t="str">
        <f>"248030401302"</f>
        <v>248030401302</v>
      </c>
      <c r="O206" t="str">
        <f>"460003199402252629"</f>
        <v>460003199402252629</v>
      </c>
    </row>
    <row r="207" customFormat="1" spans="1:15">
      <c r="A207">
        <v>325</v>
      </c>
      <c r="B207" t="s">
        <v>425</v>
      </c>
      <c r="C207" t="str">
        <f>"460003199902184837"</f>
        <v>460003199902184837</v>
      </c>
      <c r="D207" t="str">
        <f>"248030402417"</f>
        <v>248030402417</v>
      </c>
      <c r="L207">
        <v>325</v>
      </c>
      <c r="M207" t="s">
        <v>425</v>
      </c>
      <c r="N207" t="str">
        <f>"248030402417"</f>
        <v>248030402417</v>
      </c>
      <c r="O207" t="str">
        <f>"460003199902184837"</f>
        <v>460003199902184837</v>
      </c>
    </row>
    <row r="208" customFormat="1" spans="1:15">
      <c r="A208">
        <v>326</v>
      </c>
      <c r="B208" t="s">
        <v>1017</v>
      </c>
      <c r="C208" t="str">
        <f>"460034199907205822"</f>
        <v>460034199907205822</v>
      </c>
      <c r="D208" t="str">
        <f>"248030500403"</f>
        <v>248030500403</v>
      </c>
      <c r="L208">
        <v>326</v>
      </c>
      <c r="M208" t="s">
        <v>1017</v>
      </c>
      <c r="N208" t="str">
        <f>"248030500403"</f>
        <v>248030500403</v>
      </c>
      <c r="O208" t="str">
        <f>"460034199907205822"</f>
        <v>460034199907205822</v>
      </c>
    </row>
    <row r="209" customFormat="1" spans="1:15">
      <c r="A209">
        <v>327</v>
      </c>
      <c r="B209" t="s">
        <v>1018</v>
      </c>
      <c r="C209" t="str">
        <f>"460034199605283622"</f>
        <v>460034199605283622</v>
      </c>
      <c r="L209">
        <v>327</v>
      </c>
      <c r="M209" t="s">
        <v>1018</v>
      </c>
      <c r="O209" t="str">
        <f>"460034199605283622"</f>
        <v>460034199605283622</v>
      </c>
    </row>
    <row r="210" customFormat="1" spans="1:15">
      <c r="A210">
        <v>329</v>
      </c>
      <c r="B210" t="s">
        <v>1019</v>
      </c>
      <c r="C210" t="str">
        <f>"460006199808140917"</f>
        <v>460006199808140917</v>
      </c>
      <c r="D210" t="str">
        <f>"248030400820"</f>
        <v>248030400820</v>
      </c>
      <c r="L210">
        <v>329</v>
      </c>
      <c r="M210" t="s">
        <v>1019</v>
      </c>
      <c r="N210" t="str">
        <f>"248030400820"</f>
        <v>248030400820</v>
      </c>
      <c r="O210" t="str">
        <f>"460006199808140917"</f>
        <v>460006199808140917</v>
      </c>
    </row>
    <row r="211" customFormat="1" spans="1:15">
      <c r="A211">
        <v>330</v>
      </c>
      <c r="B211" t="s">
        <v>1020</v>
      </c>
      <c r="C211" t="str">
        <f>"460028199806215223"</f>
        <v>460028199806215223</v>
      </c>
      <c r="L211">
        <v>330</v>
      </c>
      <c r="M211" t="s">
        <v>1020</v>
      </c>
      <c r="O211" t="str">
        <f>"460028199806215223"</f>
        <v>460028199806215223</v>
      </c>
    </row>
    <row r="212" customFormat="1" spans="1:15">
      <c r="A212">
        <v>332</v>
      </c>
      <c r="B212" t="s">
        <v>1021</v>
      </c>
      <c r="C212" t="str">
        <f>"340825199312070420"</f>
        <v>340825199312070420</v>
      </c>
      <c r="D212" t="str">
        <f>"248030103702"</f>
        <v>248030103702</v>
      </c>
      <c r="L212">
        <v>332</v>
      </c>
      <c r="M212" t="s">
        <v>1021</v>
      </c>
      <c r="N212" t="str">
        <f>"248030103702"</f>
        <v>248030103702</v>
      </c>
      <c r="O212" t="str">
        <f>"340825199312070420"</f>
        <v>340825199312070420</v>
      </c>
    </row>
    <row r="213" customFormat="1" spans="1:15">
      <c r="A213">
        <v>334</v>
      </c>
      <c r="B213" t="s">
        <v>1022</v>
      </c>
      <c r="C213" t="str">
        <f>"460102199307173323"</f>
        <v>460102199307173323</v>
      </c>
      <c r="D213" t="str">
        <f>"248030503812"</f>
        <v>248030503812</v>
      </c>
      <c r="L213">
        <v>334</v>
      </c>
      <c r="M213" t="s">
        <v>1022</v>
      </c>
      <c r="N213" t="str">
        <f>"248030503812"</f>
        <v>248030503812</v>
      </c>
      <c r="O213" t="str">
        <f>"460102199307173323"</f>
        <v>460102199307173323</v>
      </c>
    </row>
    <row r="214" customFormat="1" spans="1:15">
      <c r="A214">
        <v>335</v>
      </c>
      <c r="B214" t="s">
        <v>1023</v>
      </c>
      <c r="C214" t="str">
        <f>"460007200106230426"</f>
        <v>460007200106230426</v>
      </c>
      <c r="D214" t="str">
        <f>"248030301603"</f>
        <v>248030301603</v>
      </c>
      <c r="L214">
        <v>335</v>
      </c>
      <c r="M214" t="s">
        <v>1023</v>
      </c>
      <c r="N214" t="str">
        <f>"248030301603"</f>
        <v>248030301603</v>
      </c>
      <c r="O214" t="str">
        <f>"460007200106230426"</f>
        <v>460007200106230426</v>
      </c>
    </row>
    <row r="215" customFormat="1" spans="1:15">
      <c r="A215">
        <v>338</v>
      </c>
      <c r="B215" t="s">
        <v>1024</v>
      </c>
      <c r="C215" t="str">
        <f>"460003199512251424"</f>
        <v>460003199512251424</v>
      </c>
      <c r="D215" t="str">
        <f>"248030400116"</f>
        <v>248030400116</v>
      </c>
      <c r="L215">
        <v>338</v>
      </c>
      <c r="M215" t="s">
        <v>1024</v>
      </c>
      <c r="N215" t="str">
        <f>"248030400116"</f>
        <v>248030400116</v>
      </c>
      <c r="O215" t="str">
        <f>"460003199512251424"</f>
        <v>460003199512251424</v>
      </c>
    </row>
    <row r="216" customFormat="1" spans="1:15">
      <c r="A216">
        <v>339</v>
      </c>
      <c r="B216" t="s">
        <v>1025</v>
      </c>
      <c r="C216" t="str">
        <f>"469003199708256145"</f>
        <v>469003199708256145</v>
      </c>
      <c r="D216" t="str">
        <f>"248030301016"</f>
        <v>248030301016</v>
      </c>
      <c r="L216">
        <v>339</v>
      </c>
      <c r="M216" t="s">
        <v>1025</v>
      </c>
      <c r="N216" t="str">
        <f>"248030301016"</f>
        <v>248030301016</v>
      </c>
      <c r="O216" t="str">
        <f>"469003199708256145"</f>
        <v>469003199708256145</v>
      </c>
    </row>
    <row r="217" customFormat="1" spans="1:15">
      <c r="A217">
        <v>340</v>
      </c>
      <c r="B217" t="s">
        <v>1026</v>
      </c>
      <c r="C217" t="str">
        <f>"620402199601190024"</f>
        <v>620402199601190024</v>
      </c>
      <c r="L217">
        <v>340</v>
      </c>
      <c r="M217" t="s">
        <v>1026</v>
      </c>
      <c r="O217" t="str">
        <f>"620402199601190024"</f>
        <v>620402199601190024</v>
      </c>
    </row>
    <row r="218" customFormat="1" spans="1:15">
      <c r="A218">
        <v>342</v>
      </c>
      <c r="B218" t="s">
        <v>1027</v>
      </c>
      <c r="C218" t="str">
        <f>"460004199305111425"</f>
        <v>460004199305111425</v>
      </c>
      <c r="D218" t="str">
        <f>"248030402930"</f>
        <v>248030402930</v>
      </c>
      <c r="L218">
        <v>342</v>
      </c>
      <c r="M218" t="s">
        <v>1027</v>
      </c>
      <c r="N218" t="str">
        <f>"248030402930"</f>
        <v>248030402930</v>
      </c>
      <c r="O218" t="str">
        <f>"460004199305111425"</f>
        <v>460004199305111425</v>
      </c>
    </row>
    <row r="219" customFormat="1" spans="1:15">
      <c r="A219">
        <v>343</v>
      </c>
      <c r="B219" t="s">
        <v>1028</v>
      </c>
      <c r="C219" t="str">
        <f>"460103200105141827"</f>
        <v>460103200105141827</v>
      </c>
      <c r="D219" t="str">
        <f>"248030501711"</f>
        <v>248030501711</v>
      </c>
      <c r="L219">
        <v>343</v>
      </c>
      <c r="M219" t="s">
        <v>1028</v>
      </c>
      <c r="N219" t="str">
        <f>"248030501711"</f>
        <v>248030501711</v>
      </c>
      <c r="O219" t="str">
        <f>"460103200105141827"</f>
        <v>460103200105141827</v>
      </c>
    </row>
    <row r="220" customFormat="1" spans="1:15">
      <c r="A220">
        <v>347</v>
      </c>
      <c r="B220" t="s">
        <v>1029</v>
      </c>
      <c r="C220" t="str">
        <f>"420606199404192046"</f>
        <v>420606199404192046</v>
      </c>
      <c r="D220" t="str">
        <f>"248030203509"</f>
        <v>248030203509</v>
      </c>
      <c r="L220">
        <v>347</v>
      </c>
      <c r="M220" t="s">
        <v>1029</v>
      </c>
      <c r="N220" t="str">
        <f>"248030203509"</f>
        <v>248030203509</v>
      </c>
      <c r="O220" t="str">
        <f>"420606199404192046"</f>
        <v>420606199404192046</v>
      </c>
    </row>
    <row r="221" customFormat="1" spans="1:15">
      <c r="A221">
        <v>348</v>
      </c>
      <c r="B221" t="s">
        <v>1030</v>
      </c>
      <c r="C221" t="str">
        <f>"460003199804054625"</f>
        <v>460003199804054625</v>
      </c>
      <c r="L221">
        <v>348</v>
      </c>
      <c r="M221" t="s">
        <v>1030</v>
      </c>
      <c r="O221" t="str">
        <f>"460003199804054625"</f>
        <v>460003199804054625</v>
      </c>
    </row>
    <row r="222" customFormat="1" spans="1:15">
      <c r="A222">
        <v>349</v>
      </c>
      <c r="B222" t="s">
        <v>1031</v>
      </c>
      <c r="C222" t="str">
        <f>"422802199202043453"</f>
        <v>422802199202043453</v>
      </c>
      <c r="D222" t="str">
        <f>"248030201619"</f>
        <v>248030201619</v>
      </c>
      <c r="L222">
        <v>349</v>
      </c>
      <c r="M222" t="s">
        <v>1031</v>
      </c>
      <c r="N222" t="str">
        <f>"248030201619"</f>
        <v>248030201619</v>
      </c>
      <c r="O222" t="str">
        <f>"422802199202043453"</f>
        <v>422802199202043453</v>
      </c>
    </row>
    <row r="223" customFormat="1" spans="1:15">
      <c r="A223">
        <v>353</v>
      </c>
      <c r="B223" t="s">
        <v>1032</v>
      </c>
      <c r="C223" t="str">
        <f>"460004200009270427"</f>
        <v>460004200009270427</v>
      </c>
      <c r="D223" t="str">
        <f>"248030104825"</f>
        <v>248030104825</v>
      </c>
      <c r="L223">
        <v>353</v>
      </c>
      <c r="M223" t="s">
        <v>1032</v>
      </c>
      <c r="N223" t="str">
        <f>"248030104825"</f>
        <v>248030104825</v>
      </c>
      <c r="O223" t="str">
        <f>"460004200009270427"</f>
        <v>460004200009270427</v>
      </c>
    </row>
    <row r="224" customFormat="1" spans="1:15">
      <c r="A224">
        <v>355</v>
      </c>
      <c r="B224" t="s">
        <v>1033</v>
      </c>
      <c r="C224" t="str">
        <f>"460034199403271527"</f>
        <v>460034199403271527</v>
      </c>
      <c r="D224" t="str">
        <f>"248030100828"</f>
        <v>248030100828</v>
      </c>
      <c r="L224">
        <v>355</v>
      </c>
      <c r="M224" t="s">
        <v>1033</v>
      </c>
      <c r="N224" t="str">
        <f>"248030100828"</f>
        <v>248030100828</v>
      </c>
      <c r="O224" t="str">
        <f>"460034199403271527"</f>
        <v>460034199403271527</v>
      </c>
    </row>
    <row r="225" customFormat="1" spans="1:15">
      <c r="A225">
        <v>356</v>
      </c>
      <c r="B225" t="s">
        <v>1034</v>
      </c>
      <c r="C225" t="str">
        <f>"460006199701034065"</f>
        <v>460006199701034065</v>
      </c>
      <c r="D225" t="str">
        <f>"248030101516"</f>
        <v>248030101516</v>
      </c>
      <c r="L225">
        <v>356</v>
      </c>
      <c r="M225" t="s">
        <v>1034</v>
      </c>
      <c r="N225" t="str">
        <f>"248030101516"</f>
        <v>248030101516</v>
      </c>
      <c r="O225" t="str">
        <f>"460006199701034065"</f>
        <v>460006199701034065</v>
      </c>
    </row>
    <row r="226" customFormat="1" spans="1:15">
      <c r="A226">
        <v>357</v>
      </c>
      <c r="B226" t="s">
        <v>1035</v>
      </c>
      <c r="C226" t="str">
        <f>"460003199411056654"</f>
        <v>460003199411056654</v>
      </c>
      <c r="D226" t="str">
        <f>"248030300525"</f>
        <v>248030300525</v>
      </c>
      <c r="L226">
        <v>357</v>
      </c>
      <c r="M226" t="s">
        <v>1035</v>
      </c>
      <c r="N226" t="str">
        <f>"248030300525"</f>
        <v>248030300525</v>
      </c>
      <c r="O226" t="str">
        <f>"460003199411056654"</f>
        <v>460003199411056654</v>
      </c>
    </row>
    <row r="227" customFormat="1" spans="1:15">
      <c r="A227">
        <v>358</v>
      </c>
      <c r="B227" t="s">
        <v>1036</v>
      </c>
      <c r="C227" t="str">
        <f>"460031200205086810"</f>
        <v>460031200205086810</v>
      </c>
      <c r="D227" t="str">
        <f>"248030203314"</f>
        <v>248030203314</v>
      </c>
      <c r="L227">
        <v>358</v>
      </c>
      <c r="M227" t="s">
        <v>1036</v>
      </c>
      <c r="N227" t="str">
        <f>"248030203314"</f>
        <v>248030203314</v>
      </c>
      <c r="O227" t="str">
        <f>"460031200205086810"</f>
        <v>460031200205086810</v>
      </c>
    </row>
    <row r="228" customFormat="1" spans="1:15">
      <c r="A228">
        <v>359</v>
      </c>
      <c r="B228" t="s">
        <v>1037</v>
      </c>
      <c r="C228" t="str">
        <f>"46000620011205061X"</f>
        <v>46000620011205061X</v>
      </c>
      <c r="D228" t="str">
        <f>"248030302516"</f>
        <v>248030302516</v>
      </c>
      <c r="L228">
        <v>359</v>
      </c>
      <c r="M228" t="s">
        <v>1037</v>
      </c>
      <c r="N228" t="str">
        <f>"248030302516"</f>
        <v>248030302516</v>
      </c>
      <c r="O228" t="str">
        <f>"46000620011205061X"</f>
        <v>46000620011205061X</v>
      </c>
    </row>
    <row r="229" customFormat="1" spans="1:15">
      <c r="A229">
        <v>360</v>
      </c>
      <c r="B229" t="s">
        <v>1038</v>
      </c>
      <c r="C229" t="str">
        <f>"640324200001013421"</f>
        <v>640324200001013421</v>
      </c>
      <c r="L229">
        <v>360</v>
      </c>
      <c r="M229" t="s">
        <v>1038</v>
      </c>
      <c r="O229" t="str">
        <f>"640324200001013421"</f>
        <v>640324200001013421</v>
      </c>
    </row>
    <row r="230" customFormat="1" spans="1:15">
      <c r="A230">
        <v>361</v>
      </c>
      <c r="B230" t="s">
        <v>1039</v>
      </c>
      <c r="C230" t="str">
        <f>"460002199311124924"</f>
        <v>460002199311124924</v>
      </c>
      <c r="D230" t="str">
        <f>"248030101930"</f>
        <v>248030101930</v>
      </c>
      <c r="L230">
        <v>361</v>
      </c>
      <c r="M230" t="s">
        <v>1039</v>
      </c>
      <c r="N230" t="str">
        <f>"248030101930"</f>
        <v>248030101930</v>
      </c>
      <c r="O230" t="str">
        <f>"460002199311124924"</f>
        <v>460002199311124924</v>
      </c>
    </row>
    <row r="231" customFormat="1" spans="1:15">
      <c r="A231">
        <v>363</v>
      </c>
      <c r="B231" t="s">
        <v>1040</v>
      </c>
      <c r="C231" t="str">
        <f>"460028199409142024"</f>
        <v>460028199409142024</v>
      </c>
      <c r="D231" t="str">
        <f>"248030200123"</f>
        <v>248030200123</v>
      </c>
      <c r="L231">
        <v>363</v>
      </c>
      <c r="M231" t="s">
        <v>1040</v>
      </c>
      <c r="N231" t="str">
        <f>"248030200123"</f>
        <v>248030200123</v>
      </c>
      <c r="O231" t="str">
        <f>"460028199409142024"</f>
        <v>460028199409142024</v>
      </c>
    </row>
    <row r="232" customFormat="1" spans="1:15">
      <c r="A232">
        <v>364</v>
      </c>
      <c r="B232" t="s">
        <v>1041</v>
      </c>
      <c r="C232" t="str">
        <f>"460004199508143646"</f>
        <v>460004199508143646</v>
      </c>
      <c r="D232" t="str">
        <f>"248030203725"</f>
        <v>248030203725</v>
      </c>
      <c r="L232">
        <v>364</v>
      </c>
      <c r="M232" t="s">
        <v>1041</v>
      </c>
      <c r="N232" t="str">
        <f>"248030203725"</f>
        <v>248030203725</v>
      </c>
      <c r="O232" t="str">
        <f>"460004199508143646"</f>
        <v>460004199508143646</v>
      </c>
    </row>
    <row r="233" customFormat="1" spans="1:15">
      <c r="A233">
        <v>365</v>
      </c>
      <c r="B233" t="s">
        <v>1042</v>
      </c>
      <c r="C233" t="str">
        <f>"469027200104066582"</f>
        <v>469027200104066582</v>
      </c>
      <c r="D233" t="str">
        <f>"248030501516"</f>
        <v>248030501516</v>
      </c>
      <c r="L233">
        <v>365</v>
      </c>
      <c r="M233" t="s">
        <v>1042</v>
      </c>
      <c r="N233" t="str">
        <f>"248030501516"</f>
        <v>248030501516</v>
      </c>
      <c r="O233" t="str">
        <f>"469027200104066582"</f>
        <v>469027200104066582</v>
      </c>
    </row>
    <row r="234" customFormat="1" spans="1:15">
      <c r="A234">
        <v>368</v>
      </c>
      <c r="B234" t="s">
        <v>1043</v>
      </c>
      <c r="C234" t="str">
        <f>"469003199910012443"</f>
        <v>469003199910012443</v>
      </c>
      <c r="D234" t="str">
        <f>"248030201626"</f>
        <v>248030201626</v>
      </c>
      <c r="L234">
        <v>368</v>
      </c>
      <c r="M234" t="s">
        <v>1043</v>
      </c>
      <c r="N234" t="str">
        <f>"248030201626"</f>
        <v>248030201626</v>
      </c>
      <c r="O234" t="str">
        <f>"469003199910012443"</f>
        <v>469003199910012443</v>
      </c>
    </row>
    <row r="235" customFormat="1" spans="1:15">
      <c r="A235">
        <v>369</v>
      </c>
      <c r="B235" t="s">
        <v>1044</v>
      </c>
      <c r="C235" t="str">
        <f>"450421199709153548"</f>
        <v>450421199709153548</v>
      </c>
      <c r="D235" t="str">
        <f>"248030103821"</f>
        <v>248030103821</v>
      </c>
      <c r="L235">
        <v>369</v>
      </c>
      <c r="M235" t="s">
        <v>1044</v>
      </c>
      <c r="N235" t="str">
        <f>"248030103821"</f>
        <v>248030103821</v>
      </c>
      <c r="O235" t="str">
        <f>"450421199709153548"</f>
        <v>450421199709153548</v>
      </c>
    </row>
    <row r="236" customFormat="1" spans="1:15">
      <c r="A236">
        <v>370</v>
      </c>
      <c r="B236" t="s">
        <v>627</v>
      </c>
      <c r="C236" t="str">
        <f>"460104199909171221"</f>
        <v>460104199909171221</v>
      </c>
      <c r="D236" t="str">
        <f>"248030104201"</f>
        <v>248030104201</v>
      </c>
      <c r="L236">
        <v>370</v>
      </c>
      <c r="M236" t="s">
        <v>627</v>
      </c>
      <c r="N236" t="str">
        <f>"248030104201"</f>
        <v>248030104201</v>
      </c>
      <c r="O236" t="str">
        <f>"460104199909171221"</f>
        <v>460104199909171221</v>
      </c>
    </row>
    <row r="237" customFormat="1" spans="1:15">
      <c r="A237">
        <v>371</v>
      </c>
      <c r="B237" t="s">
        <v>1045</v>
      </c>
      <c r="C237" t="str">
        <f>"460102200208080928"</f>
        <v>460102200208080928</v>
      </c>
      <c r="D237" t="str">
        <f>"248030503228"</f>
        <v>248030503228</v>
      </c>
      <c r="L237">
        <v>371</v>
      </c>
      <c r="M237" t="s">
        <v>1045</v>
      </c>
      <c r="N237" t="str">
        <f>"248030503228"</f>
        <v>248030503228</v>
      </c>
      <c r="O237" t="str">
        <f>"460102200208080928"</f>
        <v>460102200208080928</v>
      </c>
    </row>
    <row r="238" customFormat="1" spans="1:15">
      <c r="A238">
        <v>373</v>
      </c>
      <c r="B238" t="s">
        <v>1046</v>
      </c>
      <c r="C238" t="str">
        <f>"230302199006075023"</f>
        <v>230302199006075023</v>
      </c>
      <c r="D238" t="str">
        <f>"248030500106"</f>
        <v>248030500106</v>
      </c>
      <c r="L238">
        <v>373</v>
      </c>
      <c r="M238" t="s">
        <v>1046</v>
      </c>
      <c r="N238" t="str">
        <f>"248030500106"</f>
        <v>248030500106</v>
      </c>
      <c r="O238" t="str">
        <f>"230302199006075023"</f>
        <v>230302199006075023</v>
      </c>
    </row>
    <row r="239" customFormat="1" spans="1:15">
      <c r="A239">
        <v>374</v>
      </c>
      <c r="B239" t="s">
        <v>1047</v>
      </c>
      <c r="C239" t="str">
        <f>"469023199702260026"</f>
        <v>469023199702260026</v>
      </c>
      <c r="D239" t="str">
        <f>"248030400104"</f>
        <v>248030400104</v>
      </c>
      <c r="L239">
        <v>374</v>
      </c>
      <c r="M239" t="s">
        <v>1047</v>
      </c>
      <c r="N239" t="str">
        <f>"248030400104"</f>
        <v>248030400104</v>
      </c>
      <c r="O239" t="str">
        <f>"469023199702260026"</f>
        <v>469023199702260026</v>
      </c>
    </row>
    <row r="240" customFormat="1" spans="1:15">
      <c r="A240">
        <v>376</v>
      </c>
      <c r="B240" t="s">
        <v>1048</v>
      </c>
      <c r="C240" t="str">
        <f>"469007200009045366"</f>
        <v>469007200009045366</v>
      </c>
      <c r="D240" t="str">
        <f>"248030403619"</f>
        <v>248030403619</v>
      </c>
      <c r="L240">
        <v>376</v>
      </c>
      <c r="M240" t="s">
        <v>1048</v>
      </c>
      <c r="N240" t="str">
        <f>"248030403619"</f>
        <v>248030403619</v>
      </c>
      <c r="O240" t="str">
        <f>"469007200009045366"</f>
        <v>469007200009045366</v>
      </c>
    </row>
    <row r="241" customFormat="1" spans="1:15">
      <c r="A241">
        <v>377</v>
      </c>
      <c r="B241" t="s">
        <v>1049</v>
      </c>
      <c r="C241" t="str">
        <f>"460033199906025380"</f>
        <v>460033199906025380</v>
      </c>
      <c r="L241">
        <v>377</v>
      </c>
      <c r="M241" t="s">
        <v>1049</v>
      </c>
      <c r="O241" t="str">
        <f>"460033199906025380"</f>
        <v>460033199906025380</v>
      </c>
    </row>
    <row r="242" customFormat="1" spans="1:15">
      <c r="A242">
        <v>378</v>
      </c>
      <c r="B242" t="s">
        <v>1050</v>
      </c>
      <c r="C242" t="str">
        <f>"469003199801177329"</f>
        <v>469003199801177329</v>
      </c>
      <c r="D242" t="str">
        <f>"248030402327"</f>
        <v>248030402327</v>
      </c>
      <c r="L242">
        <v>378</v>
      </c>
      <c r="M242" t="s">
        <v>1050</v>
      </c>
      <c r="N242" t="str">
        <f>"248030402327"</f>
        <v>248030402327</v>
      </c>
      <c r="O242" t="str">
        <f>"469003199801177329"</f>
        <v>469003199801177329</v>
      </c>
    </row>
    <row r="243" customFormat="1" spans="1:15">
      <c r="A243">
        <v>379</v>
      </c>
      <c r="B243" t="s">
        <v>1051</v>
      </c>
      <c r="C243" t="str">
        <f>"469006200104078725"</f>
        <v>469006200104078725</v>
      </c>
      <c r="D243" t="str">
        <f>"248030501229"</f>
        <v>248030501229</v>
      </c>
      <c r="L243">
        <v>379</v>
      </c>
      <c r="M243" t="s">
        <v>1051</v>
      </c>
      <c r="N243" t="str">
        <f>"248030501229"</f>
        <v>248030501229</v>
      </c>
      <c r="O243" t="str">
        <f>"469006200104078725"</f>
        <v>469006200104078725</v>
      </c>
    </row>
    <row r="244" customFormat="1" spans="1:15">
      <c r="A244">
        <v>380</v>
      </c>
      <c r="B244" t="s">
        <v>1052</v>
      </c>
      <c r="C244" t="str">
        <f>"460004199710295627"</f>
        <v>460004199710295627</v>
      </c>
      <c r="D244" t="str">
        <f>"248030302602"</f>
        <v>248030302602</v>
      </c>
      <c r="L244">
        <v>380</v>
      </c>
      <c r="M244" t="s">
        <v>1052</v>
      </c>
      <c r="N244" t="str">
        <f>"248030302602"</f>
        <v>248030302602</v>
      </c>
      <c r="O244" t="str">
        <f>"460004199710295627"</f>
        <v>460004199710295627</v>
      </c>
    </row>
    <row r="245" customFormat="1" spans="1:15">
      <c r="A245">
        <v>381</v>
      </c>
      <c r="B245" t="s">
        <v>1053</v>
      </c>
      <c r="C245" t="str">
        <f>"460105199502167542"</f>
        <v>460105199502167542</v>
      </c>
      <c r="D245" t="str">
        <f>"248030103829"</f>
        <v>248030103829</v>
      </c>
      <c r="L245">
        <v>381</v>
      </c>
      <c r="M245" t="s">
        <v>1053</v>
      </c>
      <c r="N245" t="str">
        <f>"248030103829"</f>
        <v>248030103829</v>
      </c>
      <c r="O245" t="str">
        <f>"460105199502167542"</f>
        <v>460105199502167542</v>
      </c>
    </row>
    <row r="246" customFormat="1" spans="1:15">
      <c r="A246">
        <v>382</v>
      </c>
      <c r="B246" t="s">
        <v>1054</v>
      </c>
      <c r="C246" t="str">
        <f>"469003199603137924"</f>
        <v>469003199603137924</v>
      </c>
      <c r="D246" t="str">
        <f>"248030300111"</f>
        <v>248030300111</v>
      </c>
      <c r="L246">
        <v>382</v>
      </c>
      <c r="M246" t="s">
        <v>1054</v>
      </c>
      <c r="N246" t="str">
        <f>"248030300111"</f>
        <v>248030300111</v>
      </c>
      <c r="O246" t="str">
        <f>"469003199603137924"</f>
        <v>469003199603137924</v>
      </c>
    </row>
    <row r="247" customFormat="1" spans="1:15">
      <c r="A247">
        <v>383</v>
      </c>
      <c r="B247" t="s">
        <v>1055</v>
      </c>
      <c r="C247" t="str">
        <f>"522631199703285906"</f>
        <v>522631199703285906</v>
      </c>
      <c r="D247" t="str">
        <f>"248030202602"</f>
        <v>248030202602</v>
      </c>
      <c r="L247">
        <v>383</v>
      </c>
      <c r="M247" t="s">
        <v>1055</v>
      </c>
      <c r="N247" t="str">
        <f>"248030202602"</f>
        <v>248030202602</v>
      </c>
      <c r="O247" t="str">
        <f>"522631199703285906"</f>
        <v>522631199703285906</v>
      </c>
    </row>
    <row r="248" customFormat="1" spans="1:15">
      <c r="A248">
        <v>384</v>
      </c>
      <c r="B248" t="s">
        <v>1056</v>
      </c>
      <c r="C248" t="str">
        <f>"460004199910022025"</f>
        <v>460004199910022025</v>
      </c>
      <c r="L248">
        <v>384</v>
      </c>
      <c r="M248" t="s">
        <v>1056</v>
      </c>
      <c r="O248" t="str">
        <f>"460004199910022025"</f>
        <v>460004199910022025</v>
      </c>
    </row>
    <row r="249" customFormat="1" spans="1:15">
      <c r="A249">
        <v>385</v>
      </c>
      <c r="B249" t="s">
        <v>466</v>
      </c>
      <c r="C249" t="str">
        <f>"460007199211207281"</f>
        <v>460007199211207281</v>
      </c>
      <c r="D249" t="str">
        <f>"248030300808"</f>
        <v>248030300808</v>
      </c>
      <c r="L249">
        <v>385</v>
      </c>
      <c r="M249" t="s">
        <v>466</v>
      </c>
      <c r="N249" t="str">
        <f>"248030300808"</f>
        <v>248030300808</v>
      </c>
      <c r="O249" t="str">
        <f>"460007199211207281"</f>
        <v>460007199211207281</v>
      </c>
    </row>
    <row r="250" customFormat="1" spans="1:15">
      <c r="A250">
        <v>386</v>
      </c>
      <c r="B250" t="s">
        <v>1057</v>
      </c>
      <c r="C250" t="str">
        <f>"460004200001240012"</f>
        <v>460004200001240012</v>
      </c>
      <c r="D250" t="str">
        <f>"248030402722"</f>
        <v>248030402722</v>
      </c>
      <c r="L250">
        <v>386</v>
      </c>
      <c r="M250" t="s">
        <v>1057</v>
      </c>
      <c r="N250" t="str">
        <f>"248030402722"</f>
        <v>248030402722</v>
      </c>
      <c r="O250" t="str">
        <f>"460004200001240012"</f>
        <v>460004200001240012</v>
      </c>
    </row>
    <row r="251" customFormat="1" spans="1:15">
      <c r="A251">
        <v>387</v>
      </c>
      <c r="B251" t="s">
        <v>1058</v>
      </c>
      <c r="C251" t="str">
        <f>"460028199607021629"</f>
        <v>460028199607021629</v>
      </c>
      <c r="D251" t="str">
        <f>"248030103210"</f>
        <v>248030103210</v>
      </c>
      <c r="L251">
        <v>387</v>
      </c>
      <c r="M251" t="s">
        <v>1058</v>
      </c>
      <c r="N251" t="str">
        <f>"248030103210"</f>
        <v>248030103210</v>
      </c>
      <c r="O251" t="str">
        <f>"460028199607021629"</f>
        <v>460028199607021629</v>
      </c>
    </row>
    <row r="252" customFormat="1" spans="1:15">
      <c r="A252">
        <v>390</v>
      </c>
      <c r="B252" t="s">
        <v>1059</v>
      </c>
      <c r="C252" t="str">
        <f>"460006199611012321"</f>
        <v>460006199611012321</v>
      </c>
      <c r="D252" t="str">
        <f>"248030400513"</f>
        <v>248030400513</v>
      </c>
      <c r="L252">
        <v>390</v>
      </c>
      <c r="M252" t="s">
        <v>1059</v>
      </c>
      <c r="N252" t="str">
        <f>"248030400513"</f>
        <v>248030400513</v>
      </c>
      <c r="O252" t="str">
        <f>"460006199611012321"</f>
        <v>460006199611012321</v>
      </c>
    </row>
    <row r="253" customFormat="1" spans="1:15">
      <c r="A253">
        <v>391</v>
      </c>
      <c r="B253" t="s">
        <v>1060</v>
      </c>
      <c r="C253" t="str">
        <f>"532628200008251121"</f>
        <v>532628200008251121</v>
      </c>
      <c r="D253" t="str">
        <f>"248030103801"</f>
        <v>248030103801</v>
      </c>
      <c r="L253">
        <v>391</v>
      </c>
      <c r="M253" t="s">
        <v>1060</v>
      </c>
      <c r="N253" t="str">
        <f>"248030103801"</f>
        <v>248030103801</v>
      </c>
      <c r="O253" t="str">
        <f>"532628200008251121"</f>
        <v>532628200008251121</v>
      </c>
    </row>
    <row r="254" customFormat="1" spans="1:15">
      <c r="A254">
        <v>392</v>
      </c>
      <c r="B254" t="s">
        <v>1061</v>
      </c>
      <c r="C254" t="str">
        <f>"460030200108170029"</f>
        <v>460030200108170029</v>
      </c>
      <c r="D254" t="str">
        <f>"248030501218"</f>
        <v>248030501218</v>
      </c>
      <c r="L254">
        <v>392</v>
      </c>
      <c r="M254" t="s">
        <v>1061</v>
      </c>
      <c r="N254" t="str">
        <f>"248030501218"</f>
        <v>248030501218</v>
      </c>
      <c r="O254" t="str">
        <f>"460030200108170029"</f>
        <v>460030200108170029</v>
      </c>
    </row>
    <row r="255" customFormat="1" spans="1:15">
      <c r="A255">
        <v>396</v>
      </c>
      <c r="B255" t="s">
        <v>1062</v>
      </c>
      <c r="C255" t="str">
        <f>"460007200105075786"</f>
        <v>460007200105075786</v>
      </c>
      <c r="D255" t="str">
        <f>"248030403327"</f>
        <v>248030403327</v>
      </c>
      <c r="L255">
        <v>396</v>
      </c>
      <c r="M255" t="s">
        <v>1062</v>
      </c>
      <c r="N255" t="str">
        <f>"248030403327"</f>
        <v>248030403327</v>
      </c>
      <c r="O255" t="str">
        <f>"460007200105075786"</f>
        <v>460007200105075786</v>
      </c>
    </row>
    <row r="256" customFormat="1" spans="1:15">
      <c r="A256">
        <v>397</v>
      </c>
      <c r="B256" t="s">
        <v>1063</v>
      </c>
      <c r="C256" t="str">
        <f>"460003199111094261"</f>
        <v>460003199111094261</v>
      </c>
      <c r="D256" t="str">
        <f>"248030200926"</f>
        <v>248030200926</v>
      </c>
      <c r="L256">
        <v>397</v>
      </c>
      <c r="M256" t="s">
        <v>1063</v>
      </c>
      <c r="N256" t="str">
        <f>"248030200926"</f>
        <v>248030200926</v>
      </c>
      <c r="O256" t="str">
        <f>"460003199111094261"</f>
        <v>460003199111094261</v>
      </c>
    </row>
    <row r="257" customFormat="1" spans="1:15">
      <c r="A257">
        <v>398</v>
      </c>
      <c r="B257" t="s">
        <v>1064</v>
      </c>
      <c r="C257" t="str">
        <f>"460006199504024028"</f>
        <v>460006199504024028</v>
      </c>
      <c r="D257" t="str">
        <f>"248030200718"</f>
        <v>248030200718</v>
      </c>
      <c r="L257">
        <v>398</v>
      </c>
      <c r="M257" t="s">
        <v>1064</v>
      </c>
      <c r="N257" t="str">
        <f>"248030200718"</f>
        <v>248030200718</v>
      </c>
      <c r="O257" t="str">
        <f>"460006199504024028"</f>
        <v>460006199504024028</v>
      </c>
    </row>
    <row r="258" customFormat="1" spans="1:15">
      <c r="A258">
        <v>400</v>
      </c>
      <c r="B258" t="s">
        <v>1065</v>
      </c>
      <c r="C258" t="str">
        <f>"36230119860727102X"</f>
        <v>36230119860727102X</v>
      </c>
      <c r="D258" t="str">
        <f>"248030301915"</f>
        <v>248030301915</v>
      </c>
      <c r="L258">
        <v>400</v>
      </c>
      <c r="M258" t="s">
        <v>1065</v>
      </c>
      <c r="N258" t="str">
        <f>"248030301915"</f>
        <v>248030301915</v>
      </c>
      <c r="O258" t="str">
        <f>"36230119860727102X"</f>
        <v>36230119860727102X</v>
      </c>
    </row>
    <row r="259" customFormat="1" spans="1:15">
      <c r="A259">
        <v>402</v>
      </c>
      <c r="B259" t="s">
        <v>1066</v>
      </c>
      <c r="C259" t="str">
        <f>"460004199404280865"</f>
        <v>460004199404280865</v>
      </c>
      <c r="L259">
        <v>402</v>
      </c>
      <c r="M259" t="s">
        <v>1066</v>
      </c>
      <c r="O259" t="str">
        <f>"460004199404280865"</f>
        <v>460004199404280865</v>
      </c>
    </row>
    <row r="260" customFormat="1" spans="1:15">
      <c r="A260">
        <v>403</v>
      </c>
      <c r="B260" t="s">
        <v>1067</v>
      </c>
      <c r="C260" t="str">
        <f>"430525200011070014"</f>
        <v>430525200011070014</v>
      </c>
      <c r="D260" t="str">
        <f>"248030203321"</f>
        <v>248030203321</v>
      </c>
      <c r="L260">
        <v>403</v>
      </c>
      <c r="M260" t="s">
        <v>1067</v>
      </c>
      <c r="N260" t="str">
        <f>"248030203321"</f>
        <v>248030203321</v>
      </c>
      <c r="O260" t="str">
        <f>"430525200011070014"</f>
        <v>430525200011070014</v>
      </c>
    </row>
    <row r="261" customFormat="1" spans="1:15">
      <c r="A261">
        <v>404</v>
      </c>
      <c r="B261" t="s">
        <v>1068</v>
      </c>
      <c r="C261" t="str">
        <f>"440222199812231528"</f>
        <v>440222199812231528</v>
      </c>
      <c r="L261">
        <v>404</v>
      </c>
      <c r="M261" t="s">
        <v>1068</v>
      </c>
      <c r="O261" t="str">
        <f>"440222199812231528"</f>
        <v>440222199812231528</v>
      </c>
    </row>
    <row r="262" customFormat="1" spans="1:15">
      <c r="A262">
        <v>405</v>
      </c>
      <c r="B262" t="s">
        <v>745</v>
      </c>
      <c r="C262" t="str">
        <f>"510321199001039169"</f>
        <v>510321199001039169</v>
      </c>
      <c r="D262" t="str">
        <f>"248030203624"</f>
        <v>248030203624</v>
      </c>
      <c r="L262">
        <v>405</v>
      </c>
      <c r="M262" t="s">
        <v>745</v>
      </c>
      <c r="N262" t="str">
        <f>"248030203624"</f>
        <v>248030203624</v>
      </c>
      <c r="O262" t="str">
        <f>"510321199001039169"</f>
        <v>510321199001039169</v>
      </c>
    </row>
    <row r="263" customFormat="1" spans="1:15">
      <c r="A263">
        <v>407</v>
      </c>
      <c r="B263" t="s">
        <v>1069</v>
      </c>
      <c r="C263" t="str">
        <f>"230621200001180052"</f>
        <v>230621200001180052</v>
      </c>
      <c r="L263">
        <v>407</v>
      </c>
      <c r="M263" t="s">
        <v>1069</v>
      </c>
      <c r="O263" t="str">
        <f>"230621200001180052"</f>
        <v>230621200001180052</v>
      </c>
    </row>
    <row r="264" customFormat="1" spans="1:15">
      <c r="A264">
        <v>408</v>
      </c>
      <c r="B264" t="s">
        <v>1070</v>
      </c>
      <c r="C264" t="str">
        <f>"469003199612296425"</f>
        <v>469003199612296425</v>
      </c>
      <c r="L264">
        <v>408</v>
      </c>
      <c r="M264" t="s">
        <v>1070</v>
      </c>
      <c r="O264" t="str">
        <f>"469003199612296425"</f>
        <v>469003199612296425</v>
      </c>
    </row>
    <row r="265" customFormat="1" spans="1:15">
      <c r="A265">
        <v>409</v>
      </c>
      <c r="B265" t="s">
        <v>1071</v>
      </c>
      <c r="C265" t="str">
        <f>"460003200005037824"</f>
        <v>460003200005037824</v>
      </c>
      <c r="D265" t="str">
        <f>"248030502315"</f>
        <v>248030502315</v>
      </c>
      <c r="L265">
        <v>409</v>
      </c>
      <c r="M265" t="s">
        <v>1071</v>
      </c>
      <c r="N265" t="str">
        <f>"248030502315"</f>
        <v>248030502315</v>
      </c>
      <c r="O265" t="str">
        <f>"460003200005037824"</f>
        <v>460003200005037824</v>
      </c>
    </row>
    <row r="266" customFormat="1" spans="1:15">
      <c r="A266">
        <v>413</v>
      </c>
      <c r="B266" t="s">
        <v>1072</v>
      </c>
      <c r="C266" t="str">
        <f>"372925199912186171"</f>
        <v>372925199912186171</v>
      </c>
      <c r="D266" t="str">
        <f>"248030203621"</f>
        <v>248030203621</v>
      </c>
      <c r="L266">
        <v>413</v>
      </c>
      <c r="M266" t="s">
        <v>1072</v>
      </c>
      <c r="N266" t="str">
        <f>"248030203621"</f>
        <v>248030203621</v>
      </c>
      <c r="O266" t="str">
        <f>"372925199912186171"</f>
        <v>372925199912186171</v>
      </c>
    </row>
    <row r="267" customFormat="1" spans="1:15">
      <c r="A267">
        <v>414</v>
      </c>
      <c r="B267" t="s">
        <v>1073</v>
      </c>
      <c r="C267" t="str">
        <f>"460007198908074963"</f>
        <v>460007198908074963</v>
      </c>
      <c r="L267">
        <v>414</v>
      </c>
      <c r="M267" t="s">
        <v>1073</v>
      </c>
      <c r="O267" t="str">
        <f>"460007198908074963"</f>
        <v>460007198908074963</v>
      </c>
    </row>
    <row r="268" customFormat="1" spans="1:15">
      <c r="A268">
        <v>416</v>
      </c>
      <c r="B268" t="s">
        <v>1074</v>
      </c>
      <c r="C268" t="str">
        <f>"341127198501052820"</f>
        <v>341127198501052820</v>
      </c>
      <c r="L268">
        <v>416</v>
      </c>
      <c r="M268" t="s">
        <v>1074</v>
      </c>
      <c r="O268" t="str">
        <f>"341127198501052820"</f>
        <v>341127198501052820</v>
      </c>
    </row>
    <row r="269" customFormat="1" spans="1:15">
      <c r="A269">
        <v>417</v>
      </c>
      <c r="B269" t="s">
        <v>1075</v>
      </c>
      <c r="C269" t="str">
        <f>"460006200207070015"</f>
        <v>460006200207070015</v>
      </c>
      <c r="D269" t="str">
        <f>"248030400504"</f>
        <v>248030400504</v>
      </c>
      <c r="L269">
        <v>417</v>
      </c>
      <c r="M269" t="s">
        <v>1075</v>
      </c>
      <c r="N269" t="str">
        <f>"248030400504"</f>
        <v>248030400504</v>
      </c>
      <c r="O269" t="str">
        <f>"460006200207070015"</f>
        <v>460006200207070015</v>
      </c>
    </row>
    <row r="270" customFormat="1" spans="1:15">
      <c r="A270">
        <v>419</v>
      </c>
      <c r="B270" t="s">
        <v>1076</v>
      </c>
      <c r="C270" t="str">
        <f>"460006200007204429"</f>
        <v>460006200007204429</v>
      </c>
      <c r="D270" t="str">
        <f>"248030501705"</f>
        <v>248030501705</v>
      </c>
      <c r="L270">
        <v>419</v>
      </c>
      <c r="M270" t="s">
        <v>1076</v>
      </c>
      <c r="N270" t="str">
        <f>"248030501705"</f>
        <v>248030501705</v>
      </c>
      <c r="O270" t="str">
        <f>"460006200007204429"</f>
        <v>460006200007204429</v>
      </c>
    </row>
    <row r="271" customFormat="1" spans="1:15">
      <c r="A271">
        <v>420</v>
      </c>
      <c r="B271" t="s">
        <v>1077</v>
      </c>
      <c r="C271" t="str">
        <f>"142625199601271716"</f>
        <v>142625199601271716</v>
      </c>
      <c r="D271" t="str">
        <f>"248030201307"</f>
        <v>248030201307</v>
      </c>
      <c r="L271">
        <v>420</v>
      </c>
      <c r="M271" t="s">
        <v>1077</v>
      </c>
      <c r="N271" t="str">
        <f>"248030201307"</f>
        <v>248030201307</v>
      </c>
      <c r="O271" t="str">
        <f>"142625199601271716"</f>
        <v>142625199601271716</v>
      </c>
    </row>
    <row r="272" customFormat="1" spans="1:15">
      <c r="A272">
        <v>424</v>
      </c>
      <c r="B272" t="s">
        <v>1078</v>
      </c>
      <c r="C272" t="str">
        <f>"460003199107203242"</f>
        <v>460003199107203242</v>
      </c>
      <c r="D272" t="str">
        <f>"248030203912"</f>
        <v>248030203912</v>
      </c>
      <c r="L272">
        <v>424</v>
      </c>
      <c r="M272" t="s">
        <v>1078</v>
      </c>
      <c r="N272" t="str">
        <f>"248030203912"</f>
        <v>248030203912</v>
      </c>
      <c r="O272" t="str">
        <f>"460003199107203242"</f>
        <v>460003199107203242</v>
      </c>
    </row>
    <row r="273" customFormat="1" spans="1:15">
      <c r="A273">
        <v>427</v>
      </c>
      <c r="B273" t="s">
        <v>1079</v>
      </c>
      <c r="C273" t="str">
        <f>"460004200105230820"</f>
        <v>460004200105230820</v>
      </c>
      <c r="D273" t="str">
        <f>"248030102514"</f>
        <v>248030102514</v>
      </c>
      <c r="L273">
        <v>427</v>
      </c>
      <c r="M273" t="s">
        <v>1079</v>
      </c>
      <c r="N273" t="str">
        <f>"248030102514"</f>
        <v>248030102514</v>
      </c>
      <c r="O273" t="str">
        <f>"460004200105230820"</f>
        <v>460004200105230820</v>
      </c>
    </row>
    <row r="274" customFormat="1" spans="1:15">
      <c r="A274">
        <v>428</v>
      </c>
      <c r="B274" t="s">
        <v>1080</v>
      </c>
      <c r="C274" t="str">
        <f>"460002198802294114"</f>
        <v>460002198802294114</v>
      </c>
      <c r="D274" t="str">
        <f>"248030201415"</f>
        <v>248030201415</v>
      </c>
      <c r="L274">
        <v>428</v>
      </c>
      <c r="M274" t="s">
        <v>1080</v>
      </c>
      <c r="N274" t="str">
        <f>"248030201415"</f>
        <v>248030201415</v>
      </c>
      <c r="O274" t="str">
        <f>"460002198802294114"</f>
        <v>460002198802294114</v>
      </c>
    </row>
    <row r="275" customFormat="1" spans="1:15">
      <c r="A275">
        <v>429</v>
      </c>
      <c r="B275" t="s">
        <v>1081</v>
      </c>
      <c r="C275" t="str">
        <f>"460003199309052489"</f>
        <v>460003199309052489</v>
      </c>
      <c r="D275" t="str">
        <f>"248030100406"</f>
        <v>248030100406</v>
      </c>
      <c r="L275">
        <v>429</v>
      </c>
      <c r="M275" t="s">
        <v>1081</v>
      </c>
      <c r="N275" t="str">
        <f>"248030100406"</f>
        <v>248030100406</v>
      </c>
      <c r="O275" t="str">
        <f>"460003199309052489"</f>
        <v>460003199309052489</v>
      </c>
    </row>
    <row r="276" customFormat="1" spans="1:15">
      <c r="A276">
        <v>432</v>
      </c>
      <c r="B276" t="s">
        <v>1082</v>
      </c>
      <c r="C276" t="str">
        <f>"152301199505041042"</f>
        <v>152301199505041042</v>
      </c>
      <c r="D276" t="str">
        <f>"248030401111"</f>
        <v>248030401111</v>
      </c>
      <c r="L276">
        <v>432</v>
      </c>
      <c r="M276" t="s">
        <v>1082</v>
      </c>
      <c r="N276" t="str">
        <f>"248030401111"</f>
        <v>248030401111</v>
      </c>
      <c r="O276" t="str">
        <f>"152301199505041042"</f>
        <v>152301199505041042</v>
      </c>
    </row>
    <row r="277" customFormat="1" spans="1:15">
      <c r="A277">
        <v>433</v>
      </c>
      <c r="B277" t="s">
        <v>1083</v>
      </c>
      <c r="C277" t="str">
        <f>"460034200003233017"</f>
        <v>460034200003233017</v>
      </c>
      <c r="L277">
        <v>433</v>
      </c>
      <c r="M277" t="s">
        <v>1083</v>
      </c>
      <c r="O277" t="str">
        <f>"460034200003233017"</f>
        <v>460034200003233017</v>
      </c>
    </row>
    <row r="278" customFormat="1" spans="1:15">
      <c r="A278">
        <v>436</v>
      </c>
      <c r="B278" t="s">
        <v>1084</v>
      </c>
      <c r="C278" t="str">
        <f>"460033199602084541"</f>
        <v>460033199602084541</v>
      </c>
      <c r="D278" t="str">
        <f>"248030102209"</f>
        <v>248030102209</v>
      </c>
      <c r="L278">
        <v>436</v>
      </c>
      <c r="M278" t="s">
        <v>1084</v>
      </c>
      <c r="N278" t="str">
        <f>"248030102209"</f>
        <v>248030102209</v>
      </c>
      <c r="O278" t="str">
        <f>"460033199602084541"</f>
        <v>460033199602084541</v>
      </c>
    </row>
    <row r="279" customFormat="1" spans="1:15">
      <c r="A279">
        <v>439</v>
      </c>
      <c r="B279" t="s">
        <v>1085</v>
      </c>
      <c r="C279" t="str">
        <f>"220702198612131625"</f>
        <v>220702198612131625</v>
      </c>
      <c r="D279" t="str">
        <f>"248030500219"</f>
        <v>248030500219</v>
      </c>
      <c r="L279">
        <v>439</v>
      </c>
      <c r="M279" t="s">
        <v>1085</v>
      </c>
      <c r="N279" t="str">
        <f>"248030500219"</f>
        <v>248030500219</v>
      </c>
      <c r="O279" t="str">
        <f>"220702198612131625"</f>
        <v>220702198612131625</v>
      </c>
    </row>
    <row r="280" customFormat="1" spans="1:15">
      <c r="A280">
        <v>440</v>
      </c>
      <c r="B280" t="s">
        <v>1086</v>
      </c>
      <c r="C280" t="str">
        <f>"520103198704131221"</f>
        <v>520103198704131221</v>
      </c>
      <c r="D280" t="str">
        <f>"248030300416"</f>
        <v>248030300416</v>
      </c>
      <c r="L280">
        <v>440</v>
      </c>
      <c r="M280" t="s">
        <v>1086</v>
      </c>
      <c r="N280" t="str">
        <f>"248030300416"</f>
        <v>248030300416</v>
      </c>
      <c r="O280" t="str">
        <f>"520103198704131221"</f>
        <v>520103198704131221</v>
      </c>
    </row>
    <row r="281" customFormat="1" spans="1:15">
      <c r="A281">
        <v>441</v>
      </c>
      <c r="B281" t="s">
        <v>1087</v>
      </c>
      <c r="C281" t="str">
        <f>"410327199911203049"</f>
        <v>410327199911203049</v>
      </c>
      <c r="D281" t="str">
        <f>"248030500104"</f>
        <v>248030500104</v>
      </c>
      <c r="L281">
        <v>441</v>
      </c>
      <c r="M281" t="s">
        <v>1087</v>
      </c>
      <c r="N281" t="str">
        <f>"248030500104"</f>
        <v>248030500104</v>
      </c>
      <c r="O281" t="str">
        <f>"410327199911203049"</f>
        <v>410327199911203049</v>
      </c>
    </row>
    <row r="282" customFormat="1" spans="1:15">
      <c r="A282">
        <v>442</v>
      </c>
      <c r="B282" t="s">
        <v>1088</v>
      </c>
      <c r="C282" t="str">
        <f>"469026200002015622"</f>
        <v>469026200002015622</v>
      </c>
      <c r="D282" t="str">
        <f>"248030104921"</f>
        <v>248030104921</v>
      </c>
      <c r="L282">
        <v>442</v>
      </c>
      <c r="M282" t="s">
        <v>1088</v>
      </c>
      <c r="N282" t="str">
        <f>"248030104921"</f>
        <v>248030104921</v>
      </c>
      <c r="O282" t="str">
        <f>"469026200002015622"</f>
        <v>469026200002015622</v>
      </c>
    </row>
    <row r="283" customFormat="1" spans="1:15">
      <c r="A283">
        <v>445</v>
      </c>
      <c r="B283" t="s">
        <v>1089</v>
      </c>
      <c r="C283" t="str">
        <f>"460031199911305624"</f>
        <v>460031199911305624</v>
      </c>
      <c r="D283" t="str">
        <f>"248030300710"</f>
        <v>248030300710</v>
      </c>
      <c r="L283">
        <v>445</v>
      </c>
      <c r="M283" t="s">
        <v>1089</v>
      </c>
      <c r="N283" t="str">
        <f>"248030300710"</f>
        <v>248030300710</v>
      </c>
      <c r="O283" t="str">
        <f>"460031199911305624"</f>
        <v>460031199911305624</v>
      </c>
    </row>
    <row r="284" customFormat="1" spans="1:15">
      <c r="A284">
        <v>447</v>
      </c>
      <c r="B284" t="s">
        <v>1090</v>
      </c>
      <c r="C284" t="str">
        <f>"460103200101070320"</f>
        <v>460103200101070320</v>
      </c>
      <c r="D284" t="str">
        <f>"248030202807"</f>
        <v>248030202807</v>
      </c>
      <c r="L284">
        <v>447</v>
      </c>
      <c r="M284" t="s">
        <v>1090</v>
      </c>
      <c r="N284" t="str">
        <f>"248030202807"</f>
        <v>248030202807</v>
      </c>
      <c r="O284" t="str">
        <f>"460103200101070320"</f>
        <v>460103200101070320</v>
      </c>
    </row>
    <row r="285" customFormat="1" spans="1:15">
      <c r="A285">
        <v>448</v>
      </c>
      <c r="B285" t="s">
        <v>1091</v>
      </c>
      <c r="C285" t="str">
        <f>"430482199508019413"</f>
        <v>430482199508019413</v>
      </c>
      <c r="L285">
        <v>448</v>
      </c>
      <c r="M285" t="s">
        <v>1091</v>
      </c>
      <c r="O285" t="str">
        <f>"430482199508019413"</f>
        <v>430482199508019413</v>
      </c>
    </row>
    <row r="286" customFormat="1" spans="1:15">
      <c r="A286">
        <v>449</v>
      </c>
      <c r="B286" t="s">
        <v>1092</v>
      </c>
      <c r="C286" t="str">
        <f>"500234199910169440"</f>
        <v>500234199910169440</v>
      </c>
      <c r="D286" t="str">
        <f>"248030105002"</f>
        <v>248030105002</v>
      </c>
      <c r="L286">
        <v>449</v>
      </c>
      <c r="M286" t="s">
        <v>1092</v>
      </c>
      <c r="N286" t="str">
        <f>"248030105002"</f>
        <v>248030105002</v>
      </c>
      <c r="O286" t="str">
        <f>"500234199910169440"</f>
        <v>500234199910169440</v>
      </c>
    </row>
    <row r="287" customFormat="1" spans="1:15">
      <c r="A287">
        <v>450</v>
      </c>
      <c r="B287" t="s">
        <v>1093</v>
      </c>
      <c r="C287" t="str">
        <f>"460036200206123523"</f>
        <v>460036200206123523</v>
      </c>
      <c r="D287" t="str">
        <f>"248030503712"</f>
        <v>248030503712</v>
      </c>
      <c r="L287">
        <v>450</v>
      </c>
      <c r="M287" t="s">
        <v>1093</v>
      </c>
      <c r="N287" t="str">
        <f>"248030503712"</f>
        <v>248030503712</v>
      </c>
      <c r="O287" t="str">
        <f>"460036200206123523"</f>
        <v>460036200206123523</v>
      </c>
    </row>
    <row r="288" customFormat="1" spans="1:15">
      <c r="A288">
        <v>451</v>
      </c>
      <c r="B288" t="s">
        <v>1094</v>
      </c>
      <c r="C288" t="str">
        <f>"420526199003150240"</f>
        <v>420526199003150240</v>
      </c>
      <c r="D288" t="str">
        <f>"248030202919"</f>
        <v>248030202919</v>
      </c>
      <c r="L288">
        <v>451</v>
      </c>
      <c r="M288" t="s">
        <v>1094</v>
      </c>
      <c r="N288" t="str">
        <f>"248030202919"</f>
        <v>248030202919</v>
      </c>
      <c r="O288" t="str">
        <f>"420526199003150240"</f>
        <v>420526199003150240</v>
      </c>
    </row>
    <row r="289" customFormat="1" spans="1:15">
      <c r="A289">
        <v>453</v>
      </c>
      <c r="B289" t="s">
        <v>1095</v>
      </c>
      <c r="C289" t="str">
        <f>"22050220000428001X"</f>
        <v>22050220000428001X</v>
      </c>
      <c r="D289" t="str">
        <f>"248030201122"</f>
        <v>248030201122</v>
      </c>
      <c r="L289">
        <v>453</v>
      </c>
      <c r="M289" t="s">
        <v>1095</v>
      </c>
      <c r="N289" t="str">
        <f>"248030201122"</f>
        <v>248030201122</v>
      </c>
      <c r="O289" t="str">
        <f>"22050220000428001X"</f>
        <v>22050220000428001X</v>
      </c>
    </row>
    <row r="290" customFormat="1" spans="1:15">
      <c r="A290">
        <v>455</v>
      </c>
      <c r="B290" t="s">
        <v>1096</v>
      </c>
      <c r="C290" t="str">
        <f>"460102199905251520"</f>
        <v>460102199905251520</v>
      </c>
      <c r="D290" t="str">
        <f>"248030500227"</f>
        <v>248030500227</v>
      </c>
      <c r="L290">
        <v>455</v>
      </c>
      <c r="M290" t="s">
        <v>1096</v>
      </c>
      <c r="N290" t="str">
        <f>"248030500227"</f>
        <v>248030500227</v>
      </c>
      <c r="O290" t="str">
        <f>"460102199905251520"</f>
        <v>460102199905251520</v>
      </c>
    </row>
    <row r="291" customFormat="1" spans="1:15">
      <c r="A291">
        <v>456</v>
      </c>
      <c r="B291" t="s">
        <v>1097</v>
      </c>
      <c r="C291" t="str">
        <f>"460300199610120062"</f>
        <v>460300199610120062</v>
      </c>
      <c r="D291" t="str">
        <f>"248030300910"</f>
        <v>248030300910</v>
      </c>
      <c r="L291">
        <v>456</v>
      </c>
      <c r="M291" t="s">
        <v>1097</v>
      </c>
      <c r="N291" t="str">
        <f>"248030300910"</f>
        <v>248030300910</v>
      </c>
      <c r="O291" t="str">
        <f>"460300199610120062"</f>
        <v>460300199610120062</v>
      </c>
    </row>
    <row r="292" customFormat="1" spans="1:15">
      <c r="A292">
        <v>457</v>
      </c>
      <c r="B292" t="s">
        <v>1098</v>
      </c>
      <c r="C292" t="str">
        <f>"460004200208284020"</f>
        <v>460004200208284020</v>
      </c>
      <c r="D292" t="str">
        <f>"248030102825"</f>
        <v>248030102825</v>
      </c>
      <c r="L292">
        <v>457</v>
      </c>
      <c r="M292" t="s">
        <v>1098</v>
      </c>
      <c r="N292" t="str">
        <f>"248030102825"</f>
        <v>248030102825</v>
      </c>
      <c r="O292" t="str">
        <f>"460004200208284020"</f>
        <v>460004200208284020</v>
      </c>
    </row>
    <row r="293" customFormat="1" spans="1:15">
      <c r="A293">
        <v>459</v>
      </c>
      <c r="B293" t="s">
        <v>1099</v>
      </c>
      <c r="C293" t="str">
        <f>"469003199904170015"</f>
        <v>469003199904170015</v>
      </c>
      <c r="D293" t="str">
        <f>"248030404317"</f>
        <v>248030404317</v>
      </c>
      <c r="L293">
        <v>459</v>
      </c>
      <c r="M293" t="s">
        <v>1099</v>
      </c>
      <c r="N293" t="str">
        <f>"248030404317"</f>
        <v>248030404317</v>
      </c>
      <c r="O293" t="str">
        <f>"469003199904170015"</f>
        <v>469003199904170015</v>
      </c>
    </row>
    <row r="294" customFormat="1" spans="1:15">
      <c r="A294">
        <v>460</v>
      </c>
      <c r="B294" t="s">
        <v>1100</v>
      </c>
      <c r="C294" t="str">
        <f>"460003200106073429"</f>
        <v>460003200106073429</v>
      </c>
      <c r="D294" t="str">
        <f>"248030301208"</f>
        <v>248030301208</v>
      </c>
      <c r="L294">
        <v>460</v>
      </c>
      <c r="M294" t="s">
        <v>1100</v>
      </c>
      <c r="N294" t="str">
        <f>"248030301208"</f>
        <v>248030301208</v>
      </c>
      <c r="O294" t="str">
        <f>"460003200106073429"</f>
        <v>460003200106073429</v>
      </c>
    </row>
    <row r="295" customFormat="1" spans="1:15">
      <c r="A295">
        <v>461</v>
      </c>
      <c r="B295" t="s">
        <v>1101</v>
      </c>
      <c r="C295" t="str">
        <f>"460300200106190016"</f>
        <v>460300200106190016</v>
      </c>
      <c r="D295" t="str">
        <f>"248030203906"</f>
        <v>248030203906</v>
      </c>
      <c r="L295">
        <v>461</v>
      </c>
      <c r="M295" t="s">
        <v>1101</v>
      </c>
      <c r="N295" t="str">
        <f>"248030203906"</f>
        <v>248030203906</v>
      </c>
      <c r="O295" t="str">
        <f>"460300200106190016"</f>
        <v>460300200106190016</v>
      </c>
    </row>
    <row r="296" customFormat="1" spans="1:15">
      <c r="A296">
        <v>462</v>
      </c>
      <c r="B296" t="s">
        <v>1102</v>
      </c>
      <c r="C296" t="str">
        <f>"460036199505282924"</f>
        <v>460036199505282924</v>
      </c>
      <c r="D296" t="str">
        <f>"248030100613"</f>
        <v>248030100613</v>
      </c>
      <c r="L296">
        <v>462</v>
      </c>
      <c r="M296" t="s">
        <v>1102</v>
      </c>
      <c r="N296" t="str">
        <f>"248030100613"</f>
        <v>248030100613</v>
      </c>
      <c r="O296" t="str">
        <f>"460036199505282924"</f>
        <v>460036199505282924</v>
      </c>
    </row>
    <row r="297" customFormat="1" spans="1:15">
      <c r="A297">
        <v>463</v>
      </c>
      <c r="B297" t="s">
        <v>1103</v>
      </c>
      <c r="C297" t="str">
        <f>"452227200006254611"</f>
        <v>452227200006254611</v>
      </c>
      <c r="L297">
        <v>463</v>
      </c>
      <c r="M297" t="s">
        <v>1103</v>
      </c>
      <c r="O297" t="str">
        <f>"452227200006254611"</f>
        <v>452227200006254611</v>
      </c>
    </row>
    <row r="298" customFormat="1" spans="1:15">
      <c r="A298">
        <v>466</v>
      </c>
      <c r="B298" t="s">
        <v>1104</v>
      </c>
      <c r="C298" t="str">
        <f>"460034199311181217"</f>
        <v>460034199311181217</v>
      </c>
      <c r="D298" t="str">
        <f>"248030201908"</f>
        <v>248030201908</v>
      </c>
      <c r="L298">
        <v>466</v>
      </c>
      <c r="M298" t="s">
        <v>1104</v>
      </c>
      <c r="N298" t="str">
        <f>"248030201908"</f>
        <v>248030201908</v>
      </c>
      <c r="O298" t="str">
        <f>"460034199311181217"</f>
        <v>460034199311181217</v>
      </c>
    </row>
    <row r="299" customFormat="1" spans="1:15">
      <c r="A299">
        <v>467</v>
      </c>
      <c r="B299" t="s">
        <v>583</v>
      </c>
      <c r="C299" t="str">
        <f>"469003199901195014"</f>
        <v>469003199901195014</v>
      </c>
      <c r="D299" t="str">
        <f>"248030201116"</f>
        <v>248030201116</v>
      </c>
      <c r="L299">
        <v>467</v>
      </c>
      <c r="M299" t="s">
        <v>583</v>
      </c>
      <c r="N299" t="str">
        <f>"248030201116"</f>
        <v>248030201116</v>
      </c>
      <c r="O299" t="str">
        <f>"469003199901195014"</f>
        <v>469003199901195014</v>
      </c>
    </row>
    <row r="300" customFormat="1" spans="1:15">
      <c r="A300">
        <v>468</v>
      </c>
      <c r="B300" t="s">
        <v>1105</v>
      </c>
      <c r="C300" t="str">
        <f>"46002719970322792X"</f>
        <v>46002719970322792X</v>
      </c>
      <c r="D300" t="str">
        <f>"248030104405"</f>
        <v>248030104405</v>
      </c>
      <c r="L300">
        <v>468</v>
      </c>
      <c r="M300" t="s">
        <v>1105</v>
      </c>
      <c r="N300" t="str">
        <f>"248030104405"</f>
        <v>248030104405</v>
      </c>
      <c r="O300" t="str">
        <f>"46002719970322792X"</f>
        <v>46002719970322792X</v>
      </c>
    </row>
    <row r="301" customFormat="1" spans="1:15">
      <c r="A301">
        <v>469</v>
      </c>
      <c r="B301" t="s">
        <v>956</v>
      </c>
      <c r="C301" t="str">
        <f>"460006199905171627"</f>
        <v>460006199905171627</v>
      </c>
      <c r="D301" t="str">
        <f>"248030203207"</f>
        <v>248030203207</v>
      </c>
      <c r="L301">
        <v>469</v>
      </c>
      <c r="M301" t="s">
        <v>956</v>
      </c>
      <c r="N301" t="str">
        <f>"248030203207"</f>
        <v>248030203207</v>
      </c>
      <c r="O301" t="str">
        <f>"460006199905171627"</f>
        <v>460006199905171627</v>
      </c>
    </row>
    <row r="302" customFormat="1" spans="1:15">
      <c r="A302">
        <v>470</v>
      </c>
      <c r="B302" t="s">
        <v>1106</v>
      </c>
      <c r="C302" t="str">
        <f>"152201199704081017"</f>
        <v>152201199704081017</v>
      </c>
      <c r="D302" t="str">
        <f>"248030202930"</f>
        <v>248030202930</v>
      </c>
      <c r="L302">
        <v>470</v>
      </c>
      <c r="M302" t="s">
        <v>1106</v>
      </c>
      <c r="N302" t="str">
        <f>"248030202930"</f>
        <v>248030202930</v>
      </c>
      <c r="O302" t="str">
        <f>"152201199704081017"</f>
        <v>152201199704081017</v>
      </c>
    </row>
    <row r="303" customFormat="1" spans="1:15">
      <c r="A303">
        <v>474</v>
      </c>
      <c r="B303" t="s">
        <v>1107</v>
      </c>
      <c r="C303" t="str">
        <f>"469024200208030083"</f>
        <v>469024200208030083</v>
      </c>
      <c r="D303" t="str">
        <f>"248030503701"</f>
        <v>248030503701</v>
      </c>
      <c r="L303">
        <v>474</v>
      </c>
      <c r="M303" t="s">
        <v>1107</v>
      </c>
      <c r="N303" t="str">
        <f>"248030503701"</f>
        <v>248030503701</v>
      </c>
      <c r="O303" t="str">
        <f>"469024200208030083"</f>
        <v>469024200208030083</v>
      </c>
    </row>
    <row r="304" customFormat="1" spans="1:15">
      <c r="A304">
        <v>476</v>
      </c>
      <c r="B304" t="s">
        <v>1108</v>
      </c>
      <c r="C304" t="str">
        <f>"460030199904206023"</f>
        <v>460030199904206023</v>
      </c>
      <c r="D304" t="str">
        <f>"248030300129"</f>
        <v>248030300129</v>
      </c>
      <c r="L304">
        <v>476</v>
      </c>
      <c r="M304" t="s">
        <v>1108</v>
      </c>
      <c r="N304" t="str">
        <f>"248030300129"</f>
        <v>248030300129</v>
      </c>
      <c r="O304" t="str">
        <f>"460030199904206023"</f>
        <v>460030199904206023</v>
      </c>
    </row>
    <row r="305" customFormat="1" spans="1:15">
      <c r="A305">
        <v>478</v>
      </c>
      <c r="B305" t="s">
        <v>1109</v>
      </c>
      <c r="C305" t="str">
        <f>"460033199608167188"</f>
        <v>460033199608167188</v>
      </c>
      <c r="D305" t="str">
        <f>"248030102619"</f>
        <v>248030102619</v>
      </c>
      <c r="L305">
        <v>478</v>
      </c>
      <c r="M305" t="s">
        <v>1109</v>
      </c>
      <c r="N305" t="str">
        <f>"248030102619"</f>
        <v>248030102619</v>
      </c>
      <c r="O305" t="str">
        <f>"460033199608167188"</f>
        <v>460033199608167188</v>
      </c>
    </row>
    <row r="306" customFormat="1" spans="1:15">
      <c r="A306">
        <v>479</v>
      </c>
      <c r="B306" t="s">
        <v>1110</v>
      </c>
      <c r="C306" t="str">
        <f>"460003199910122265"</f>
        <v>460003199910122265</v>
      </c>
      <c r="D306" t="str">
        <f>"248030102901"</f>
        <v>248030102901</v>
      </c>
      <c r="L306">
        <v>479</v>
      </c>
      <c r="M306" t="s">
        <v>1110</v>
      </c>
      <c r="N306" t="str">
        <f>"248030102901"</f>
        <v>248030102901</v>
      </c>
      <c r="O306" t="str">
        <f>"460003199910122265"</f>
        <v>460003199910122265</v>
      </c>
    </row>
    <row r="307" customFormat="1" spans="1:15">
      <c r="A307">
        <v>480</v>
      </c>
      <c r="B307" t="s">
        <v>1111</v>
      </c>
      <c r="C307" t="str">
        <f>"350626199409060525"</f>
        <v>350626199409060525</v>
      </c>
      <c r="D307" t="str">
        <f>"248030200913"</f>
        <v>248030200913</v>
      </c>
      <c r="L307">
        <v>480</v>
      </c>
      <c r="M307" t="s">
        <v>1111</v>
      </c>
      <c r="N307" t="str">
        <f>"248030200913"</f>
        <v>248030200913</v>
      </c>
      <c r="O307" t="str">
        <f>"350626199409060525"</f>
        <v>350626199409060525</v>
      </c>
    </row>
    <row r="308" customFormat="1" spans="1:15">
      <c r="A308">
        <v>481</v>
      </c>
      <c r="B308" t="s">
        <v>1112</v>
      </c>
      <c r="C308" t="str">
        <f>"460102199610030923"</f>
        <v>460102199610030923</v>
      </c>
      <c r="D308" t="str">
        <f>"248030102415"</f>
        <v>248030102415</v>
      </c>
      <c r="L308">
        <v>481</v>
      </c>
      <c r="M308" t="s">
        <v>1112</v>
      </c>
      <c r="N308" t="str">
        <f>"248030102415"</f>
        <v>248030102415</v>
      </c>
      <c r="O308" t="str">
        <f>"460102199610030923"</f>
        <v>460102199610030923</v>
      </c>
    </row>
    <row r="309" customFormat="1" spans="1:15">
      <c r="A309">
        <v>483</v>
      </c>
      <c r="B309" t="s">
        <v>1113</v>
      </c>
      <c r="C309" t="str">
        <f>"210503199903273648"</f>
        <v>210503199903273648</v>
      </c>
      <c r="D309" t="str">
        <f>"248030201819"</f>
        <v>248030201819</v>
      </c>
      <c r="L309">
        <v>483</v>
      </c>
      <c r="M309" t="s">
        <v>1113</v>
      </c>
      <c r="N309" t="str">
        <f>"248030201819"</f>
        <v>248030201819</v>
      </c>
      <c r="O309" t="str">
        <f>"210503199903273648"</f>
        <v>210503199903273648</v>
      </c>
    </row>
    <row r="310" customFormat="1" spans="1:15">
      <c r="A310">
        <v>484</v>
      </c>
      <c r="B310" t="s">
        <v>1114</v>
      </c>
      <c r="C310" t="str">
        <f>"460028200008196828"</f>
        <v>460028200008196828</v>
      </c>
      <c r="D310" t="str">
        <f>"248030302622"</f>
        <v>248030302622</v>
      </c>
      <c r="L310">
        <v>484</v>
      </c>
      <c r="M310" t="s">
        <v>1114</v>
      </c>
      <c r="N310" t="str">
        <f>"248030302622"</f>
        <v>248030302622</v>
      </c>
      <c r="O310" t="str">
        <f>"460028200008196828"</f>
        <v>460028200008196828</v>
      </c>
    </row>
    <row r="311" customFormat="1" spans="1:15">
      <c r="A311">
        <v>485</v>
      </c>
      <c r="B311" t="s">
        <v>1115</v>
      </c>
      <c r="C311" t="str">
        <f>"142602200002011534"</f>
        <v>142602200002011534</v>
      </c>
      <c r="D311" t="str">
        <f>"248030201911"</f>
        <v>248030201911</v>
      </c>
      <c r="L311">
        <v>485</v>
      </c>
      <c r="M311" t="s">
        <v>1115</v>
      </c>
      <c r="N311" t="str">
        <f>"248030201911"</f>
        <v>248030201911</v>
      </c>
      <c r="O311" t="str">
        <f>"142602200002011534"</f>
        <v>142602200002011534</v>
      </c>
    </row>
    <row r="312" customFormat="1" spans="1:15">
      <c r="A312">
        <v>487</v>
      </c>
      <c r="B312" t="s">
        <v>1116</v>
      </c>
      <c r="C312" t="str">
        <f>"460105200305230325"</f>
        <v>460105200305230325</v>
      </c>
      <c r="D312" t="str">
        <f>"248030502413"</f>
        <v>248030502413</v>
      </c>
      <c r="L312">
        <v>487</v>
      </c>
      <c r="M312" t="s">
        <v>1116</v>
      </c>
      <c r="N312" t="str">
        <f>"248030502413"</f>
        <v>248030502413</v>
      </c>
      <c r="O312" t="str">
        <f>"460105200305230325"</f>
        <v>460105200305230325</v>
      </c>
    </row>
    <row r="313" customFormat="1" spans="1:15">
      <c r="A313">
        <v>488</v>
      </c>
      <c r="B313" t="s">
        <v>1117</v>
      </c>
      <c r="C313" t="str">
        <f>"460028199807170020"</f>
        <v>460028199807170020</v>
      </c>
      <c r="L313">
        <v>488</v>
      </c>
      <c r="M313" t="s">
        <v>1117</v>
      </c>
      <c r="O313" t="str">
        <f>"460028199807170020"</f>
        <v>460028199807170020</v>
      </c>
    </row>
    <row r="314" customFormat="1" spans="1:15">
      <c r="A314">
        <v>489</v>
      </c>
      <c r="B314" t="s">
        <v>1118</v>
      </c>
      <c r="C314" t="str">
        <f>"460006199510117829"</f>
        <v>460006199510117829</v>
      </c>
      <c r="D314" t="str">
        <f>"248030504002"</f>
        <v>248030504002</v>
      </c>
      <c r="L314">
        <v>489</v>
      </c>
      <c r="M314" t="s">
        <v>1118</v>
      </c>
      <c r="N314" t="str">
        <f>"248030504002"</f>
        <v>248030504002</v>
      </c>
      <c r="O314" t="str">
        <f>"460006199510117829"</f>
        <v>460006199510117829</v>
      </c>
    </row>
    <row r="315" customFormat="1" spans="1:15">
      <c r="A315">
        <v>491</v>
      </c>
      <c r="B315" t="s">
        <v>1119</v>
      </c>
      <c r="C315" t="str">
        <f>"469024200008062021"</f>
        <v>469024200008062021</v>
      </c>
      <c r="D315" t="str">
        <f>"248030401625"</f>
        <v>248030401625</v>
      </c>
      <c r="L315">
        <v>491</v>
      </c>
      <c r="M315" t="s">
        <v>1119</v>
      </c>
      <c r="N315" t="str">
        <f>"248030401625"</f>
        <v>248030401625</v>
      </c>
      <c r="O315" t="str">
        <f>"469024200008062021"</f>
        <v>469024200008062021</v>
      </c>
    </row>
    <row r="316" customFormat="1" spans="1:15">
      <c r="A316">
        <v>492</v>
      </c>
      <c r="B316" t="s">
        <v>1120</v>
      </c>
      <c r="C316" t="str">
        <f>"460025200201070929"</f>
        <v>460025200201070929</v>
      </c>
      <c r="D316" t="str">
        <f>"248030100823"</f>
        <v>248030100823</v>
      </c>
      <c r="L316">
        <v>492</v>
      </c>
      <c r="M316" t="s">
        <v>1120</v>
      </c>
      <c r="N316" t="str">
        <f>"248030100823"</f>
        <v>248030100823</v>
      </c>
      <c r="O316" t="str">
        <f>"460025200201070929"</f>
        <v>460025200201070929</v>
      </c>
    </row>
    <row r="317" customFormat="1" spans="1:15">
      <c r="A317">
        <v>493</v>
      </c>
      <c r="B317" t="s">
        <v>1121</v>
      </c>
      <c r="C317" t="str">
        <f>"460033200202163887"</f>
        <v>460033200202163887</v>
      </c>
      <c r="D317" t="str">
        <f>"248030401015"</f>
        <v>248030401015</v>
      </c>
      <c r="L317">
        <v>493</v>
      </c>
      <c r="M317" t="s">
        <v>1121</v>
      </c>
      <c r="N317" t="str">
        <f>"248030401015"</f>
        <v>248030401015</v>
      </c>
      <c r="O317" t="str">
        <f>"460033200202163887"</f>
        <v>460033200202163887</v>
      </c>
    </row>
    <row r="318" customFormat="1" spans="1:15">
      <c r="A318">
        <v>494</v>
      </c>
      <c r="B318" t="s">
        <v>1122</v>
      </c>
      <c r="C318" t="str">
        <f>"460006200209104020"</f>
        <v>460006200209104020</v>
      </c>
      <c r="D318" t="str">
        <f>"248030301511"</f>
        <v>248030301511</v>
      </c>
      <c r="L318">
        <v>494</v>
      </c>
      <c r="M318" t="s">
        <v>1122</v>
      </c>
      <c r="N318" t="str">
        <f>"248030301511"</f>
        <v>248030301511</v>
      </c>
      <c r="O318" t="str">
        <f>"460006200209104020"</f>
        <v>460006200209104020</v>
      </c>
    </row>
    <row r="319" customFormat="1" spans="1:15">
      <c r="A319">
        <v>495</v>
      </c>
      <c r="B319" t="s">
        <v>1123</v>
      </c>
      <c r="C319" t="str">
        <f>"469003200003012429"</f>
        <v>469003200003012429</v>
      </c>
      <c r="D319" t="str">
        <f>"248030101724"</f>
        <v>248030101724</v>
      </c>
      <c r="L319">
        <v>495</v>
      </c>
      <c r="M319" t="s">
        <v>1123</v>
      </c>
      <c r="N319" t="str">
        <f>"248030101724"</f>
        <v>248030101724</v>
      </c>
      <c r="O319" t="str">
        <f>"469003200003012429"</f>
        <v>469003200003012429</v>
      </c>
    </row>
    <row r="320" customFormat="1" spans="1:15">
      <c r="A320">
        <v>499</v>
      </c>
      <c r="B320" t="s">
        <v>1124</v>
      </c>
      <c r="C320" t="str">
        <f>"430111199902111718"</f>
        <v>430111199902111718</v>
      </c>
      <c r="D320" t="str">
        <f>"248030201906"</f>
        <v>248030201906</v>
      </c>
      <c r="L320">
        <v>499</v>
      </c>
      <c r="M320" t="s">
        <v>1124</v>
      </c>
      <c r="N320" t="str">
        <f>"248030201906"</f>
        <v>248030201906</v>
      </c>
      <c r="O320" t="str">
        <f>"430111199902111718"</f>
        <v>430111199902111718</v>
      </c>
    </row>
    <row r="321" customFormat="1" spans="1:15">
      <c r="A321">
        <v>500</v>
      </c>
      <c r="B321" t="s">
        <v>1125</v>
      </c>
      <c r="C321" t="str">
        <f>"460031199406075215"</f>
        <v>460031199406075215</v>
      </c>
      <c r="L321">
        <v>500</v>
      </c>
      <c r="M321" t="s">
        <v>1125</v>
      </c>
      <c r="O321" t="str">
        <f>"460031199406075215"</f>
        <v>460031199406075215</v>
      </c>
    </row>
    <row r="322" customFormat="1" spans="1:15">
      <c r="A322">
        <v>501</v>
      </c>
      <c r="B322" t="s">
        <v>1126</v>
      </c>
      <c r="C322" t="str">
        <f>"469007199601084967"</f>
        <v>469007199601084967</v>
      </c>
      <c r="D322" t="str">
        <f>"248030403603"</f>
        <v>248030403603</v>
      </c>
      <c r="L322">
        <v>501</v>
      </c>
      <c r="M322" t="s">
        <v>1126</v>
      </c>
      <c r="N322" t="str">
        <f>"248030403603"</f>
        <v>248030403603</v>
      </c>
      <c r="O322" t="str">
        <f>"469007199601084967"</f>
        <v>469007199601084967</v>
      </c>
    </row>
    <row r="323" customFormat="1" spans="1:15">
      <c r="A323">
        <v>502</v>
      </c>
      <c r="B323" t="s">
        <v>1127</v>
      </c>
      <c r="C323" t="str">
        <f>"532928199911111564"</f>
        <v>532928199911111564</v>
      </c>
      <c r="D323" t="str">
        <f>"248030103812"</f>
        <v>248030103812</v>
      </c>
      <c r="L323">
        <v>502</v>
      </c>
      <c r="M323" t="s">
        <v>1127</v>
      </c>
      <c r="N323" t="str">
        <f>"248030103812"</f>
        <v>248030103812</v>
      </c>
      <c r="O323" t="str">
        <f>"532928199911111564"</f>
        <v>532928199911111564</v>
      </c>
    </row>
    <row r="324" customFormat="1" spans="1:15">
      <c r="A324">
        <v>503</v>
      </c>
      <c r="B324" t="s">
        <v>1128</v>
      </c>
      <c r="C324" t="str">
        <f>"230102200104032427"</f>
        <v>230102200104032427</v>
      </c>
      <c r="D324" t="str">
        <f>"248030103711"</f>
        <v>248030103711</v>
      </c>
      <c r="L324">
        <v>503</v>
      </c>
      <c r="M324" t="s">
        <v>1128</v>
      </c>
      <c r="N324" t="str">
        <f>"248030103711"</f>
        <v>248030103711</v>
      </c>
      <c r="O324" t="str">
        <f>"230102200104032427"</f>
        <v>230102200104032427</v>
      </c>
    </row>
    <row r="325" customFormat="1" spans="1:15">
      <c r="A325">
        <v>505</v>
      </c>
      <c r="B325" t="s">
        <v>1129</v>
      </c>
      <c r="C325" t="str">
        <f>"460004200204225613"</f>
        <v>460004200204225613</v>
      </c>
      <c r="D325" t="str">
        <f>"248030302618"</f>
        <v>248030302618</v>
      </c>
      <c r="L325">
        <v>505</v>
      </c>
      <c r="M325" t="s">
        <v>1129</v>
      </c>
      <c r="N325" t="str">
        <f>"248030302618"</f>
        <v>248030302618</v>
      </c>
      <c r="O325" t="str">
        <f>"460004200204225613"</f>
        <v>460004200204225613</v>
      </c>
    </row>
    <row r="326" customFormat="1" spans="1:15">
      <c r="A326">
        <v>507</v>
      </c>
      <c r="B326" t="s">
        <v>1130</v>
      </c>
      <c r="C326" t="str">
        <f>"460027200011161320"</f>
        <v>460027200011161320</v>
      </c>
      <c r="D326" t="str">
        <f>"248030203306"</f>
        <v>248030203306</v>
      </c>
      <c r="L326">
        <v>507</v>
      </c>
      <c r="M326" t="s">
        <v>1130</v>
      </c>
      <c r="N326" t="str">
        <f>"248030203306"</f>
        <v>248030203306</v>
      </c>
      <c r="O326" t="str">
        <f>"460027200011161320"</f>
        <v>460027200011161320</v>
      </c>
    </row>
    <row r="327" customFormat="1" spans="1:15">
      <c r="A327">
        <v>508</v>
      </c>
      <c r="B327" t="s">
        <v>1131</v>
      </c>
      <c r="C327" t="str">
        <f>"430181199711265414"</f>
        <v>430181199711265414</v>
      </c>
      <c r="L327">
        <v>508</v>
      </c>
      <c r="M327" t="s">
        <v>1131</v>
      </c>
      <c r="O327" t="str">
        <f>"430181199711265414"</f>
        <v>430181199711265414</v>
      </c>
    </row>
    <row r="328" customFormat="1" spans="1:15">
      <c r="A328">
        <v>509</v>
      </c>
      <c r="B328" t="s">
        <v>1132</v>
      </c>
      <c r="C328" t="str">
        <f>"460027199605047319"</f>
        <v>460027199605047319</v>
      </c>
      <c r="D328" t="str">
        <f>"248030201621"</f>
        <v>248030201621</v>
      </c>
      <c r="L328">
        <v>509</v>
      </c>
      <c r="M328" t="s">
        <v>1132</v>
      </c>
      <c r="N328" t="str">
        <f>"248030201621"</f>
        <v>248030201621</v>
      </c>
      <c r="O328" t="str">
        <f>"460027199605047319"</f>
        <v>460027199605047319</v>
      </c>
    </row>
    <row r="329" customFormat="1" spans="1:15">
      <c r="A329">
        <v>510</v>
      </c>
      <c r="B329" t="s">
        <v>1133</v>
      </c>
      <c r="C329" t="str">
        <f>"46002719910620472X"</f>
        <v>46002719910620472X</v>
      </c>
      <c r="D329" t="str">
        <f>"248030401401"</f>
        <v>248030401401</v>
      </c>
      <c r="L329">
        <v>510</v>
      </c>
      <c r="M329" t="s">
        <v>1133</v>
      </c>
      <c r="N329" t="str">
        <f>"248030401401"</f>
        <v>248030401401</v>
      </c>
      <c r="O329" t="str">
        <f>"46002719910620472X"</f>
        <v>46002719910620472X</v>
      </c>
    </row>
    <row r="330" customFormat="1" spans="1:15">
      <c r="A330">
        <v>511</v>
      </c>
      <c r="B330" t="s">
        <v>1134</v>
      </c>
      <c r="C330" t="str">
        <f>"37120219890111182X"</f>
        <v>37120219890111182X</v>
      </c>
      <c r="D330" t="str">
        <f>"248030302422"</f>
        <v>248030302422</v>
      </c>
      <c r="L330">
        <v>511</v>
      </c>
      <c r="M330" t="s">
        <v>1134</v>
      </c>
      <c r="N330" t="str">
        <f>"248030302422"</f>
        <v>248030302422</v>
      </c>
      <c r="O330" t="str">
        <f>"37120219890111182X"</f>
        <v>37120219890111182X</v>
      </c>
    </row>
    <row r="331" customFormat="1" spans="1:15">
      <c r="A331">
        <v>516</v>
      </c>
      <c r="B331" t="s">
        <v>1135</v>
      </c>
      <c r="C331" t="str">
        <f>"460104199303231226"</f>
        <v>460104199303231226</v>
      </c>
      <c r="L331">
        <v>516</v>
      </c>
      <c r="M331" t="s">
        <v>1135</v>
      </c>
      <c r="O331" t="str">
        <f>"460104199303231226"</f>
        <v>460104199303231226</v>
      </c>
    </row>
    <row r="332" customFormat="1" spans="1:15">
      <c r="A332">
        <v>519</v>
      </c>
      <c r="B332" t="s">
        <v>1136</v>
      </c>
      <c r="C332" t="str">
        <f>"460004200101010222"</f>
        <v>460004200101010222</v>
      </c>
      <c r="D332" t="str">
        <f>"248030102503"</f>
        <v>248030102503</v>
      </c>
      <c r="L332">
        <v>519</v>
      </c>
      <c r="M332" t="s">
        <v>1136</v>
      </c>
      <c r="N332" t="str">
        <f>"248030102503"</f>
        <v>248030102503</v>
      </c>
      <c r="O332" t="str">
        <f>"460004200101010222"</f>
        <v>460004200101010222</v>
      </c>
    </row>
    <row r="333" customFormat="1" spans="1:15">
      <c r="A333">
        <v>520</v>
      </c>
      <c r="B333" t="s">
        <v>1137</v>
      </c>
      <c r="C333" t="str">
        <f>"460028199512295221"</f>
        <v>460028199512295221</v>
      </c>
      <c r="D333" t="str">
        <f>"248030101719"</f>
        <v>248030101719</v>
      </c>
      <c r="L333">
        <v>520</v>
      </c>
      <c r="M333" t="s">
        <v>1137</v>
      </c>
      <c r="N333" t="str">
        <f>"248030101719"</f>
        <v>248030101719</v>
      </c>
      <c r="O333" t="str">
        <f>"460028199512295221"</f>
        <v>460028199512295221</v>
      </c>
    </row>
    <row r="334" customFormat="1" spans="1:15">
      <c r="A334">
        <v>521</v>
      </c>
      <c r="B334" t="s">
        <v>1138</v>
      </c>
      <c r="C334" t="str">
        <f>"350182199710197129"</f>
        <v>350182199710197129</v>
      </c>
      <c r="D334" t="str">
        <f>"248030201319"</f>
        <v>248030201319</v>
      </c>
      <c r="L334">
        <v>521</v>
      </c>
      <c r="M334" t="s">
        <v>1138</v>
      </c>
      <c r="N334" t="str">
        <f>"248030201319"</f>
        <v>248030201319</v>
      </c>
      <c r="O334" t="str">
        <f>"350182199710197129"</f>
        <v>350182199710197129</v>
      </c>
    </row>
    <row r="335" customFormat="1" spans="1:15">
      <c r="A335">
        <v>522</v>
      </c>
      <c r="B335" t="s">
        <v>1139</v>
      </c>
      <c r="C335" t="str">
        <f>"460200200005014464"</f>
        <v>460200200005014464</v>
      </c>
      <c r="D335" t="str">
        <f>"248030100311"</f>
        <v>248030100311</v>
      </c>
      <c r="L335">
        <v>522</v>
      </c>
      <c r="M335" t="s">
        <v>1139</v>
      </c>
      <c r="N335" t="str">
        <f>"248030100311"</f>
        <v>248030100311</v>
      </c>
      <c r="O335" t="str">
        <f>"460200200005014464"</f>
        <v>460200200005014464</v>
      </c>
    </row>
    <row r="336" customFormat="1" spans="1:15">
      <c r="A336">
        <v>523</v>
      </c>
      <c r="B336" t="s">
        <v>799</v>
      </c>
      <c r="C336" t="str">
        <f>"460006199911148722"</f>
        <v>460006199911148722</v>
      </c>
      <c r="D336" t="str">
        <f>"248030404026"</f>
        <v>248030404026</v>
      </c>
      <c r="L336">
        <v>523</v>
      </c>
      <c r="M336" t="s">
        <v>799</v>
      </c>
      <c r="N336" t="str">
        <f>"248030404026"</f>
        <v>248030404026</v>
      </c>
      <c r="O336" t="str">
        <f>"460006199911148722"</f>
        <v>460006199911148722</v>
      </c>
    </row>
    <row r="337" customFormat="1" spans="1:15">
      <c r="A337">
        <v>524</v>
      </c>
      <c r="B337" t="s">
        <v>1140</v>
      </c>
      <c r="C337" t="str">
        <f>"460200199701043167"</f>
        <v>460200199701043167</v>
      </c>
      <c r="D337" t="str">
        <f>"248030500501"</f>
        <v>248030500501</v>
      </c>
      <c r="L337">
        <v>524</v>
      </c>
      <c r="M337" t="s">
        <v>1140</v>
      </c>
      <c r="N337" t="str">
        <f>"248030500501"</f>
        <v>248030500501</v>
      </c>
      <c r="O337" t="str">
        <f>"460200199701043167"</f>
        <v>460200199701043167</v>
      </c>
    </row>
    <row r="338" customFormat="1" spans="1:15">
      <c r="A338">
        <v>525</v>
      </c>
      <c r="B338" t="s">
        <v>1141</v>
      </c>
      <c r="C338" t="str">
        <f>"511132200108143219"</f>
        <v>511132200108143219</v>
      </c>
      <c r="D338" t="str">
        <f>"248030201227"</f>
        <v>248030201227</v>
      </c>
      <c r="L338">
        <v>525</v>
      </c>
      <c r="M338" t="s">
        <v>1141</v>
      </c>
      <c r="N338" t="str">
        <f>"248030201227"</f>
        <v>248030201227</v>
      </c>
      <c r="O338" t="str">
        <f>"511132200108143219"</f>
        <v>511132200108143219</v>
      </c>
    </row>
    <row r="339" customFormat="1" spans="1:15">
      <c r="A339">
        <v>527</v>
      </c>
      <c r="B339" t="s">
        <v>1142</v>
      </c>
      <c r="C339" t="str">
        <f>"460200199406014224"</f>
        <v>460200199406014224</v>
      </c>
      <c r="D339" t="str">
        <f>"248030403414"</f>
        <v>248030403414</v>
      </c>
      <c r="L339">
        <v>527</v>
      </c>
      <c r="M339" t="s">
        <v>1142</v>
      </c>
      <c r="N339" t="str">
        <f>"248030403414"</f>
        <v>248030403414</v>
      </c>
      <c r="O339" t="str">
        <f>"460200199406014224"</f>
        <v>460200199406014224</v>
      </c>
    </row>
    <row r="340" customFormat="1" spans="1:15">
      <c r="A340">
        <v>528</v>
      </c>
      <c r="B340" t="s">
        <v>1143</v>
      </c>
      <c r="C340" t="str">
        <f>"469003200204165640"</f>
        <v>469003200204165640</v>
      </c>
      <c r="D340" t="str">
        <f>"248030101529"</f>
        <v>248030101529</v>
      </c>
      <c r="L340">
        <v>528</v>
      </c>
      <c r="M340" t="s">
        <v>1143</v>
      </c>
      <c r="N340" t="str">
        <f>"248030101529"</f>
        <v>248030101529</v>
      </c>
      <c r="O340" t="str">
        <f>"469003200204165640"</f>
        <v>469003200204165640</v>
      </c>
    </row>
    <row r="341" customFormat="1" spans="1:15">
      <c r="A341">
        <v>530</v>
      </c>
      <c r="B341" t="s">
        <v>1144</v>
      </c>
      <c r="C341" t="str">
        <f>"410223199202166547"</f>
        <v>410223199202166547</v>
      </c>
      <c r="L341">
        <v>530</v>
      </c>
      <c r="M341" t="s">
        <v>1144</v>
      </c>
      <c r="O341" t="str">
        <f>"410223199202166547"</f>
        <v>410223199202166547</v>
      </c>
    </row>
    <row r="342" customFormat="1" spans="1:15">
      <c r="A342">
        <v>532</v>
      </c>
      <c r="B342" t="s">
        <v>1145</v>
      </c>
      <c r="C342" t="str">
        <f>"530422200110190328"</f>
        <v>530422200110190328</v>
      </c>
      <c r="L342">
        <v>532</v>
      </c>
      <c r="M342" t="s">
        <v>1145</v>
      </c>
      <c r="O342" t="str">
        <f>"530422200110190328"</f>
        <v>530422200110190328</v>
      </c>
    </row>
    <row r="343" customFormat="1" spans="1:15">
      <c r="A343">
        <v>533</v>
      </c>
      <c r="B343" t="s">
        <v>68</v>
      </c>
      <c r="C343" t="str">
        <f>"430381200305250002"</f>
        <v>430381200305250002</v>
      </c>
      <c r="D343" t="str">
        <f>"248030201602"</f>
        <v>248030201602</v>
      </c>
      <c r="L343">
        <v>533</v>
      </c>
      <c r="M343" t="s">
        <v>68</v>
      </c>
      <c r="N343" t="str">
        <f>"248030201602"</f>
        <v>248030201602</v>
      </c>
      <c r="O343" t="str">
        <f>"430381200305250002"</f>
        <v>430381200305250002</v>
      </c>
    </row>
    <row r="344" customFormat="1" spans="1:15">
      <c r="A344">
        <v>534</v>
      </c>
      <c r="B344" t="s">
        <v>1146</v>
      </c>
      <c r="C344" t="str">
        <f>"142627199709020022"</f>
        <v>142627199709020022</v>
      </c>
      <c r="L344">
        <v>534</v>
      </c>
      <c r="M344" t="s">
        <v>1146</v>
      </c>
      <c r="O344" t="str">
        <f>"142627199709020022"</f>
        <v>142627199709020022</v>
      </c>
    </row>
    <row r="345" customFormat="1" spans="1:15">
      <c r="A345">
        <v>535</v>
      </c>
      <c r="B345" t="s">
        <v>1147</v>
      </c>
      <c r="C345" t="str">
        <f>"640381200012271220"</f>
        <v>640381200012271220</v>
      </c>
      <c r="D345" t="str">
        <f>"248030200604"</f>
        <v>248030200604</v>
      </c>
      <c r="L345">
        <v>535</v>
      </c>
      <c r="M345" t="s">
        <v>1147</v>
      </c>
      <c r="N345" t="str">
        <f>"248030200604"</f>
        <v>248030200604</v>
      </c>
      <c r="O345" t="str">
        <f>"640381200012271220"</f>
        <v>640381200012271220</v>
      </c>
    </row>
    <row r="346" customFormat="1" spans="1:15">
      <c r="A346">
        <v>536</v>
      </c>
      <c r="B346" t="s">
        <v>1148</v>
      </c>
      <c r="C346" t="str">
        <f>"460007199608167214"</f>
        <v>460007199608167214</v>
      </c>
      <c r="D346" t="str">
        <f>"248030200102"</f>
        <v>248030200102</v>
      </c>
      <c r="L346">
        <v>536</v>
      </c>
      <c r="M346" t="s">
        <v>1148</v>
      </c>
      <c r="N346" t="str">
        <f>"248030200102"</f>
        <v>248030200102</v>
      </c>
      <c r="O346" t="str">
        <f>"460007199608167214"</f>
        <v>460007199608167214</v>
      </c>
    </row>
    <row r="347" customFormat="1" spans="1:15">
      <c r="A347">
        <v>537</v>
      </c>
      <c r="B347" t="s">
        <v>623</v>
      </c>
      <c r="C347" t="str">
        <f>"430381199711261422"</f>
        <v>430381199711261422</v>
      </c>
      <c r="D347" t="str">
        <f>"248030104114"</f>
        <v>248030104114</v>
      </c>
      <c r="L347">
        <v>537</v>
      </c>
      <c r="M347" t="s">
        <v>623</v>
      </c>
      <c r="N347" t="str">
        <f>"248030104114"</f>
        <v>248030104114</v>
      </c>
      <c r="O347" t="str">
        <f>"430381199711261422"</f>
        <v>430381199711261422</v>
      </c>
    </row>
    <row r="348" customFormat="1" spans="1:15">
      <c r="A348">
        <v>538</v>
      </c>
      <c r="B348" t="s">
        <v>1149</v>
      </c>
      <c r="C348" t="str">
        <f>"460025199302202729"</f>
        <v>460025199302202729</v>
      </c>
      <c r="L348">
        <v>538</v>
      </c>
      <c r="M348" t="s">
        <v>1149</v>
      </c>
      <c r="O348" t="str">
        <f>"460025199302202729"</f>
        <v>460025199302202729</v>
      </c>
    </row>
    <row r="349" customFormat="1" spans="1:15">
      <c r="A349">
        <v>539</v>
      </c>
      <c r="B349" t="s">
        <v>1150</v>
      </c>
      <c r="C349" t="str">
        <f>"460004199712181420"</f>
        <v>460004199712181420</v>
      </c>
      <c r="L349">
        <v>539</v>
      </c>
      <c r="M349" t="s">
        <v>1150</v>
      </c>
      <c r="O349" t="str">
        <f>"460004199712181420"</f>
        <v>460004199712181420</v>
      </c>
    </row>
    <row r="350" customFormat="1" spans="1:15">
      <c r="A350">
        <v>542</v>
      </c>
      <c r="B350" t="s">
        <v>1151</v>
      </c>
      <c r="C350" t="str">
        <f>"460102200106054518"</f>
        <v>460102200106054518</v>
      </c>
      <c r="D350" t="str">
        <f>"248030300426"</f>
        <v>248030300426</v>
      </c>
      <c r="L350">
        <v>542</v>
      </c>
      <c r="M350" t="s">
        <v>1151</v>
      </c>
      <c r="N350" t="str">
        <f>"248030300426"</f>
        <v>248030300426</v>
      </c>
      <c r="O350" t="str">
        <f>"460102200106054518"</f>
        <v>460102200106054518</v>
      </c>
    </row>
    <row r="351" customFormat="1" spans="1:15">
      <c r="A351">
        <v>543</v>
      </c>
      <c r="B351" t="s">
        <v>1152</v>
      </c>
      <c r="C351" t="str">
        <f>"469007199411034977"</f>
        <v>469007199411034977</v>
      </c>
      <c r="D351" t="str">
        <f>"248030400219"</f>
        <v>248030400219</v>
      </c>
      <c r="L351">
        <v>543</v>
      </c>
      <c r="M351" t="s">
        <v>1152</v>
      </c>
      <c r="N351" t="str">
        <f>"248030400219"</f>
        <v>248030400219</v>
      </c>
      <c r="O351" t="str">
        <f>"469007199411034977"</f>
        <v>469007199411034977</v>
      </c>
    </row>
    <row r="352" customFormat="1" spans="1:15">
      <c r="A352">
        <v>544</v>
      </c>
      <c r="B352" t="s">
        <v>1153</v>
      </c>
      <c r="C352" t="str">
        <f>"460103199606171527"</f>
        <v>460103199606171527</v>
      </c>
      <c r="D352" t="str">
        <f>"248030104504"</f>
        <v>248030104504</v>
      </c>
      <c r="L352">
        <v>544</v>
      </c>
      <c r="M352" t="s">
        <v>1153</v>
      </c>
      <c r="N352" t="str">
        <f>"248030104504"</f>
        <v>248030104504</v>
      </c>
      <c r="O352" t="str">
        <f>"460103199606171527"</f>
        <v>460103199606171527</v>
      </c>
    </row>
    <row r="353" customFormat="1" spans="1:15">
      <c r="A353">
        <v>545</v>
      </c>
      <c r="B353" t="s">
        <v>1154</v>
      </c>
      <c r="C353" t="str">
        <f>"460025199307280929"</f>
        <v>460025199307280929</v>
      </c>
      <c r="L353">
        <v>545</v>
      </c>
      <c r="M353" t="s">
        <v>1154</v>
      </c>
      <c r="O353" t="str">
        <f>"460025199307280929"</f>
        <v>460025199307280929</v>
      </c>
    </row>
    <row r="354" customFormat="1" spans="1:15">
      <c r="A354">
        <v>546</v>
      </c>
      <c r="B354" t="s">
        <v>1155</v>
      </c>
      <c r="C354" t="str">
        <f>"411322200111014236"</f>
        <v>411322200111014236</v>
      </c>
      <c r="D354" t="str">
        <f>"248030203719"</f>
        <v>248030203719</v>
      </c>
      <c r="L354">
        <v>546</v>
      </c>
      <c r="M354" t="s">
        <v>1155</v>
      </c>
      <c r="N354" t="str">
        <f>"248030203719"</f>
        <v>248030203719</v>
      </c>
      <c r="O354" t="str">
        <f>"411322200111014236"</f>
        <v>411322200111014236</v>
      </c>
    </row>
    <row r="355" customFormat="1" spans="1:15">
      <c r="A355">
        <v>547</v>
      </c>
      <c r="B355" t="s">
        <v>1156</v>
      </c>
      <c r="C355" t="str">
        <f>"460200199508220520"</f>
        <v>460200199508220520</v>
      </c>
      <c r="D355" t="str">
        <f>"248030104227"</f>
        <v>248030104227</v>
      </c>
      <c r="L355">
        <v>547</v>
      </c>
      <c r="M355" t="s">
        <v>1156</v>
      </c>
      <c r="N355" t="str">
        <f>"248030104227"</f>
        <v>248030104227</v>
      </c>
      <c r="O355" t="str">
        <f>"460200199508220520"</f>
        <v>460200199508220520</v>
      </c>
    </row>
    <row r="356" customFormat="1" spans="1:15">
      <c r="A356">
        <v>548</v>
      </c>
      <c r="B356" t="s">
        <v>1157</v>
      </c>
      <c r="C356" t="str">
        <f>"460004199508182063"</f>
        <v>460004199508182063</v>
      </c>
      <c r="D356" t="str">
        <f>"248030402728"</f>
        <v>248030402728</v>
      </c>
      <c r="L356">
        <v>548</v>
      </c>
      <c r="M356" t="s">
        <v>1157</v>
      </c>
      <c r="N356" t="str">
        <f>"248030402728"</f>
        <v>248030402728</v>
      </c>
      <c r="O356" t="str">
        <f>"460004199508182063"</f>
        <v>460004199508182063</v>
      </c>
    </row>
    <row r="357" customFormat="1" spans="1:15">
      <c r="A357">
        <v>549</v>
      </c>
      <c r="B357" t="s">
        <v>1158</v>
      </c>
      <c r="C357" t="str">
        <f>"460200200102103135"</f>
        <v>460200200102103135</v>
      </c>
      <c r="L357">
        <v>549</v>
      </c>
      <c r="M357" t="s">
        <v>1158</v>
      </c>
      <c r="O357" t="str">
        <f>"460200200102103135"</f>
        <v>460200200102103135</v>
      </c>
    </row>
    <row r="358" customFormat="1" spans="1:15">
      <c r="A358">
        <v>550</v>
      </c>
      <c r="B358" t="s">
        <v>1159</v>
      </c>
      <c r="C358" t="str">
        <f>"460031200002106420"</f>
        <v>460031200002106420</v>
      </c>
      <c r="D358" t="str">
        <f>"248030403613"</f>
        <v>248030403613</v>
      </c>
      <c r="L358">
        <v>550</v>
      </c>
      <c r="M358" t="s">
        <v>1159</v>
      </c>
      <c r="N358" t="str">
        <f>"248030403613"</f>
        <v>248030403613</v>
      </c>
      <c r="O358" t="str">
        <f>"460031200002106420"</f>
        <v>460031200002106420</v>
      </c>
    </row>
    <row r="359" customFormat="1" spans="1:15">
      <c r="A359">
        <v>551</v>
      </c>
      <c r="B359" t="s">
        <v>581</v>
      </c>
      <c r="C359" t="str">
        <f>"22240619931217061X"</f>
        <v>22240619931217061X</v>
      </c>
      <c r="L359">
        <v>551</v>
      </c>
      <c r="M359" t="s">
        <v>581</v>
      </c>
      <c r="O359" t="str">
        <f>"22240619931217061X"</f>
        <v>22240619931217061X</v>
      </c>
    </row>
    <row r="360" customFormat="1" spans="1:15">
      <c r="A360">
        <v>552</v>
      </c>
      <c r="B360" t="s">
        <v>1160</v>
      </c>
      <c r="C360" t="str">
        <f>"460005199801152142"</f>
        <v>460005199801152142</v>
      </c>
      <c r="D360" t="str">
        <f>"248030104903"</f>
        <v>248030104903</v>
      </c>
      <c r="L360">
        <v>552</v>
      </c>
      <c r="M360" t="s">
        <v>1160</v>
      </c>
      <c r="N360" t="str">
        <f>"248030104903"</f>
        <v>248030104903</v>
      </c>
      <c r="O360" t="str">
        <f>"460005199801152142"</f>
        <v>460005199801152142</v>
      </c>
    </row>
    <row r="361" customFormat="1" spans="1:15">
      <c r="A361">
        <v>554</v>
      </c>
      <c r="B361" t="s">
        <v>1161</v>
      </c>
      <c r="C361" t="str">
        <f>"440825199806183066"</f>
        <v>440825199806183066</v>
      </c>
      <c r="D361" t="str">
        <f>"248030104910"</f>
        <v>248030104910</v>
      </c>
      <c r="L361">
        <v>554</v>
      </c>
      <c r="M361" t="s">
        <v>1161</v>
      </c>
      <c r="N361" t="str">
        <f>"248030104910"</f>
        <v>248030104910</v>
      </c>
      <c r="O361" t="str">
        <f>"440825199806183066"</f>
        <v>440825199806183066</v>
      </c>
    </row>
    <row r="362" customFormat="1" spans="1:15">
      <c r="A362">
        <v>556</v>
      </c>
      <c r="B362" t="s">
        <v>1162</v>
      </c>
      <c r="C362" t="str">
        <f>"460033200112244480"</f>
        <v>460033200112244480</v>
      </c>
      <c r="D362" t="str">
        <f>"248030300219"</f>
        <v>248030300219</v>
      </c>
      <c r="L362">
        <v>556</v>
      </c>
      <c r="M362" t="s">
        <v>1162</v>
      </c>
      <c r="N362" t="str">
        <f>"248030300219"</f>
        <v>248030300219</v>
      </c>
      <c r="O362" t="str">
        <f>"460033200112244480"</f>
        <v>460033200112244480</v>
      </c>
    </row>
    <row r="363" customFormat="1" spans="1:15">
      <c r="A363">
        <v>557</v>
      </c>
      <c r="B363" t="s">
        <v>1163</v>
      </c>
      <c r="C363" t="str">
        <f>"460006199907242345"</f>
        <v>460006199907242345</v>
      </c>
      <c r="D363" t="str">
        <f>"248030104602"</f>
        <v>248030104602</v>
      </c>
      <c r="L363">
        <v>557</v>
      </c>
      <c r="M363" t="s">
        <v>1163</v>
      </c>
      <c r="N363" t="str">
        <f>"248030104602"</f>
        <v>248030104602</v>
      </c>
      <c r="O363" t="str">
        <f>"460006199907242345"</f>
        <v>460006199907242345</v>
      </c>
    </row>
    <row r="364" customFormat="1" spans="1:15">
      <c r="A364">
        <v>558</v>
      </c>
      <c r="B364" t="s">
        <v>1164</v>
      </c>
      <c r="C364" t="str">
        <f>"460004199912092027"</f>
        <v>460004199912092027</v>
      </c>
      <c r="L364">
        <v>558</v>
      </c>
      <c r="M364" t="s">
        <v>1164</v>
      </c>
      <c r="O364" t="str">
        <f>"460004199912092027"</f>
        <v>460004199912092027</v>
      </c>
    </row>
    <row r="365" customFormat="1" spans="1:15">
      <c r="A365">
        <v>559</v>
      </c>
      <c r="B365" t="s">
        <v>1165</v>
      </c>
      <c r="C365" t="str">
        <f>"622322200010242213"</f>
        <v>622322200010242213</v>
      </c>
      <c r="D365" t="str">
        <f>"248030201907"</f>
        <v>248030201907</v>
      </c>
      <c r="L365">
        <v>559</v>
      </c>
      <c r="M365" t="s">
        <v>1165</v>
      </c>
      <c r="N365" t="str">
        <f>"248030201907"</f>
        <v>248030201907</v>
      </c>
      <c r="O365" t="str">
        <f>"622322200010242213"</f>
        <v>622322200010242213</v>
      </c>
    </row>
    <row r="366" customFormat="1" spans="1:15">
      <c r="A366">
        <v>560</v>
      </c>
      <c r="B366" t="s">
        <v>1166</v>
      </c>
      <c r="C366" t="str">
        <f>"500229200109074520"</f>
        <v>500229200109074520</v>
      </c>
      <c r="D366" t="str">
        <f>"248030101905"</f>
        <v>248030101905</v>
      </c>
      <c r="L366">
        <v>560</v>
      </c>
      <c r="M366" t="s">
        <v>1166</v>
      </c>
      <c r="N366" t="str">
        <f>"248030101905"</f>
        <v>248030101905</v>
      </c>
      <c r="O366" t="str">
        <f>"500229200109074520"</f>
        <v>500229200109074520</v>
      </c>
    </row>
    <row r="367" customFormat="1" spans="1:15">
      <c r="A367">
        <v>561</v>
      </c>
      <c r="B367" t="s">
        <v>1167</v>
      </c>
      <c r="C367" t="str">
        <f>"50011220010911004X"</f>
        <v>50011220010911004X</v>
      </c>
      <c r="D367" t="str">
        <f>"248030202829"</f>
        <v>248030202829</v>
      </c>
      <c r="L367">
        <v>561</v>
      </c>
      <c r="M367" t="s">
        <v>1167</v>
      </c>
      <c r="N367" t="str">
        <f>"248030202829"</f>
        <v>248030202829</v>
      </c>
      <c r="O367" t="str">
        <f>"50011220010911004X"</f>
        <v>50011220010911004X</v>
      </c>
    </row>
    <row r="368" customFormat="1" spans="1:15">
      <c r="A368">
        <v>562</v>
      </c>
      <c r="B368" t="s">
        <v>1168</v>
      </c>
      <c r="C368" t="str">
        <f>"46902819971225182X"</f>
        <v>46902819971225182X</v>
      </c>
      <c r="D368" t="str">
        <f>"248030503014"</f>
        <v>248030503014</v>
      </c>
      <c r="L368">
        <v>562</v>
      </c>
      <c r="M368" t="s">
        <v>1168</v>
      </c>
      <c r="N368" t="str">
        <f>"248030503014"</f>
        <v>248030503014</v>
      </c>
      <c r="O368" t="str">
        <f>"46902819971225182X"</f>
        <v>46902819971225182X</v>
      </c>
    </row>
    <row r="369" customFormat="1" spans="1:15">
      <c r="A369">
        <v>563</v>
      </c>
      <c r="B369" t="s">
        <v>1169</v>
      </c>
      <c r="C369" t="str">
        <f>"230231199408025447"</f>
        <v>230231199408025447</v>
      </c>
      <c r="D369" t="str">
        <f>"248030203511"</f>
        <v>248030203511</v>
      </c>
      <c r="L369">
        <v>563</v>
      </c>
      <c r="M369" t="s">
        <v>1169</v>
      </c>
      <c r="N369" t="str">
        <f>"248030203511"</f>
        <v>248030203511</v>
      </c>
      <c r="O369" t="str">
        <f>"230231199408025447"</f>
        <v>230231199408025447</v>
      </c>
    </row>
    <row r="370" customFormat="1" spans="1:15">
      <c r="A370">
        <v>564</v>
      </c>
      <c r="B370" t="s">
        <v>1170</v>
      </c>
      <c r="C370" t="str">
        <f>"460006199912300028"</f>
        <v>460006199912300028</v>
      </c>
      <c r="D370" t="str">
        <f>"248030200328"</f>
        <v>248030200328</v>
      </c>
      <c r="L370">
        <v>564</v>
      </c>
      <c r="M370" t="s">
        <v>1170</v>
      </c>
      <c r="N370" t="str">
        <f>"248030200328"</f>
        <v>248030200328</v>
      </c>
      <c r="O370" t="str">
        <f>"460006199912300028"</f>
        <v>460006199912300028</v>
      </c>
    </row>
    <row r="371" customFormat="1" spans="1:15">
      <c r="A371">
        <v>566</v>
      </c>
      <c r="B371" t="s">
        <v>1171</v>
      </c>
      <c r="C371" t="str">
        <f>"460006199306021643"</f>
        <v>460006199306021643</v>
      </c>
      <c r="D371" t="str">
        <f>"248030504221"</f>
        <v>248030504221</v>
      </c>
      <c r="L371">
        <v>566</v>
      </c>
      <c r="M371" t="s">
        <v>1171</v>
      </c>
      <c r="N371" t="str">
        <f>"248030504221"</f>
        <v>248030504221</v>
      </c>
      <c r="O371" t="str">
        <f>"460006199306021643"</f>
        <v>460006199306021643</v>
      </c>
    </row>
    <row r="372" customFormat="1" spans="1:15">
      <c r="A372">
        <v>567</v>
      </c>
      <c r="B372" t="s">
        <v>1172</v>
      </c>
      <c r="C372" t="str">
        <f>"370283198410302223"</f>
        <v>370283198410302223</v>
      </c>
      <c r="D372" t="str">
        <f>"248030500429"</f>
        <v>248030500429</v>
      </c>
      <c r="L372">
        <v>567</v>
      </c>
      <c r="M372" t="s">
        <v>1172</v>
      </c>
      <c r="N372" t="str">
        <f>"248030500429"</f>
        <v>248030500429</v>
      </c>
      <c r="O372" t="str">
        <f>"370283198410302223"</f>
        <v>370283198410302223</v>
      </c>
    </row>
    <row r="373" customFormat="1" spans="1:15">
      <c r="A373">
        <v>568</v>
      </c>
      <c r="B373" t="s">
        <v>1173</v>
      </c>
      <c r="C373" t="str">
        <f>"460033199807020883"</f>
        <v>460033199807020883</v>
      </c>
      <c r="D373" t="str">
        <f>"248030203020"</f>
        <v>248030203020</v>
      </c>
      <c r="L373">
        <v>568</v>
      </c>
      <c r="M373" t="s">
        <v>1173</v>
      </c>
      <c r="N373" t="str">
        <f>"248030203020"</f>
        <v>248030203020</v>
      </c>
      <c r="O373" t="str">
        <f>"460033199807020883"</f>
        <v>460033199807020883</v>
      </c>
    </row>
    <row r="374" customFormat="1" spans="1:15">
      <c r="A374">
        <v>571</v>
      </c>
      <c r="B374" t="s">
        <v>1174</v>
      </c>
      <c r="C374" t="str">
        <f>"460104199610140965"</f>
        <v>460104199610140965</v>
      </c>
      <c r="D374" t="str">
        <f>"248030102329"</f>
        <v>248030102329</v>
      </c>
      <c r="L374">
        <v>571</v>
      </c>
      <c r="M374" t="s">
        <v>1174</v>
      </c>
      <c r="N374" t="str">
        <f>"248030102329"</f>
        <v>248030102329</v>
      </c>
      <c r="O374" t="str">
        <f>"460104199610140965"</f>
        <v>460104199610140965</v>
      </c>
    </row>
    <row r="375" customFormat="1" spans="1:15">
      <c r="A375">
        <v>572</v>
      </c>
      <c r="B375" t="s">
        <v>1175</v>
      </c>
      <c r="C375" t="str">
        <f>"460026199912053616"</f>
        <v>460026199912053616</v>
      </c>
      <c r="D375" t="str">
        <f>"248030201519"</f>
        <v>248030201519</v>
      </c>
      <c r="L375">
        <v>572</v>
      </c>
      <c r="M375" t="s">
        <v>1175</v>
      </c>
      <c r="N375" t="str">
        <f>"248030201519"</f>
        <v>248030201519</v>
      </c>
      <c r="O375" t="str">
        <f>"460026199912053616"</f>
        <v>460026199912053616</v>
      </c>
    </row>
    <row r="376" customFormat="1" spans="1:15">
      <c r="A376">
        <v>574</v>
      </c>
      <c r="B376" t="s">
        <v>1176</v>
      </c>
      <c r="C376" t="str">
        <f>"469024200104083228"</f>
        <v>469024200104083228</v>
      </c>
      <c r="D376" t="str">
        <f>"248030202906"</f>
        <v>248030202906</v>
      </c>
      <c r="L376">
        <v>574</v>
      </c>
      <c r="M376" t="s">
        <v>1176</v>
      </c>
      <c r="N376" t="str">
        <f>"248030202906"</f>
        <v>248030202906</v>
      </c>
      <c r="O376" t="str">
        <f>"469024200104083228"</f>
        <v>469024200104083228</v>
      </c>
    </row>
    <row r="377" customFormat="1" spans="1:15">
      <c r="A377">
        <v>577</v>
      </c>
      <c r="B377" t="s">
        <v>1177</v>
      </c>
      <c r="C377" t="str">
        <f>"522731199309080035"</f>
        <v>522731199309080035</v>
      </c>
      <c r="D377" t="str">
        <f>"248030203312"</f>
        <v>248030203312</v>
      </c>
      <c r="L377">
        <v>577</v>
      </c>
      <c r="M377" t="s">
        <v>1177</v>
      </c>
      <c r="N377" t="str">
        <f>"248030203312"</f>
        <v>248030203312</v>
      </c>
      <c r="O377" t="str">
        <f>"522731199309080035"</f>
        <v>522731199309080035</v>
      </c>
    </row>
    <row r="378" customFormat="1" spans="1:15">
      <c r="A378">
        <v>578</v>
      </c>
      <c r="B378" t="s">
        <v>1178</v>
      </c>
      <c r="C378" t="str">
        <f>"469024200111033624"</f>
        <v>469024200111033624</v>
      </c>
      <c r="D378" t="str">
        <f>"248030300505"</f>
        <v>248030300505</v>
      </c>
      <c r="L378">
        <v>578</v>
      </c>
      <c r="M378" t="s">
        <v>1178</v>
      </c>
      <c r="N378" t="str">
        <f>"248030300505"</f>
        <v>248030300505</v>
      </c>
      <c r="O378" t="str">
        <f>"469024200111033624"</f>
        <v>469024200111033624</v>
      </c>
    </row>
    <row r="379" customFormat="1" spans="1:15">
      <c r="A379">
        <v>579</v>
      </c>
      <c r="B379" t="s">
        <v>1179</v>
      </c>
      <c r="C379" t="str">
        <f>"432322199512306626"</f>
        <v>432322199512306626</v>
      </c>
      <c r="D379" t="str">
        <f>"248030203304"</f>
        <v>248030203304</v>
      </c>
      <c r="L379">
        <v>579</v>
      </c>
      <c r="M379" t="s">
        <v>1179</v>
      </c>
      <c r="N379" t="str">
        <f>"248030203304"</f>
        <v>248030203304</v>
      </c>
      <c r="O379" t="str">
        <f>"432322199512306626"</f>
        <v>432322199512306626</v>
      </c>
    </row>
    <row r="380" customFormat="1" spans="1:15">
      <c r="A380">
        <v>580</v>
      </c>
      <c r="B380" t="s">
        <v>1180</v>
      </c>
      <c r="C380" t="str">
        <f>"410811199809050046"</f>
        <v>410811199809050046</v>
      </c>
      <c r="D380" t="str">
        <f>"248030501006"</f>
        <v>248030501006</v>
      </c>
      <c r="L380">
        <v>580</v>
      </c>
      <c r="M380" t="s">
        <v>1180</v>
      </c>
      <c r="N380" t="str">
        <f>"248030501006"</f>
        <v>248030501006</v>
      </c>
      <c r="O380" t="str">
        <f>"410811199809050046"</f>
        <v>410811199809050046</v>
      </c>
    </row>
    <row r="381" customFormat="1" spans="1:15">
      <c r="A381">
        <v>581</v>
      </c>
      <c r="B381" t="s">
        <v>1181</v>
      </c>
      <c r="C381" t="str">
        <f>"440881199802037759"</f>
        <v>440881199802037759</v>
      </c>
      <c r="D381" t="str">
        <f>"248030400802"</f>
        <v>248030400802</v>
      </c>
      <c r="L381">
        <v>581</v>
      </c>
      <c r="M381" t="s">
        <v>1181</v>
      </c>
      <c r="N381" t="str">
        <f>"248030400802"</f>
        <v>248030400802</v>
      </c>
      <c r="O381" t="str">
        <f>"440881199802037759"</f>
        <v>440881199802037759</v>
      </c>
    </row>
    <row r="382" customFormat="1" spans="1:15">
      <c r="A382">
        <v>582</v>
      </c>
      <c r="B382" t="s">
        <v>1182</v>
      </c>
      <c r="C382" t="str">
        <f>"460200199609224010"</f>
        <v>460200199609224010</v>
      </c>
      <c r="D382" t="str">
        <f>"248030201318"</f>
        <v>248030201318</v>
      </c>
      <c r="L382">
        <v>582</v>
      </c>
      <c r="M382" t="s">
        <v>1182</v>
      </c>
      <c r="N382" t="str">
        <f>"248030201318"</f>
        <v>248030201318</v>
      </c>
      <c r="O382" t="str">
        <f>"460200199609224010"</f>
        <v>460200199609224010</v>
      </c>
    </row>
    <row r="383" customFormat="1" spans="1:15">
      <c r="A383">
        <v>583</v>
      </c>
      <c r="B383" t="s">
        <v>1183</v>
      </c>
      <c r="C383" t="str">
        <f>"460031199402136447"</f>
        <v>460031199402136447</v>
      </c>
      <c r="D383" t="str">
        <f>"248030402907"</f>
        <v>248030402907</v>
      </c>
      <c r="L383">
        <v>583</v>
      </c>
      <c r="M383" t="s">
        <v>1183</v>
      </c>
      <c r="N383" t="str">
        <f>"248030402907"</f>
        <v>248030402907</v>
      </c>
      <c r="O383" t="str">
        <f>"460031199402136447"</f>
        <v>460031199402136447</v>
      </c>
    </row>
    <row r="384" customFormat="1" spans="1:15">
      <c r="A384">
        <v>584</v>
      </c>
      <c r="B384" t="s">
        <v>1184</v>
      </c>
      <c r="C384" t="str">
        <f>"430503199908154040"</f>
        <v>430503199908154040</v>
      </c>
      <c r="L384">
        <v>584</v>
      </c>
      <c r="M384" t="s">
        <v>1184</v>
      </c>
      <c r="O384" t="str">
        <f>"430503199908154040"</f>
        <v>430503199908154040</v>
      </c>
    </row>
    <row r="385" customFormat="1" spans="1:15">
      <c r="A385">
        <v>585</v>
      </c>
      <c r="B385" t="s">
        <v>1185</v>
      </c>
      <c r="C385" t="str">
        <f>"620103199809303024"</f>
        <v>620103199809303024</v>
      </c>
      <c r="L385">
        <v>585</v>
      </c>
      <c r="M385" t="s">
        <v>1185</v>
      </c>
      <c r="O385" t="str">
        <f>"620103199809303024"</f>
        <v>620103199809303024</v>
      </c>
    </row>
    <row r="386" customFormat="1" spans="1:15">
      <c r="A386">
        <v>587</v>
      </c>
      <c r="B386" t="s">
        <v>1186</v>
      </c>
      <c r="C386" t="str">
        <f>"460027199605292947"</f>
        <v>460027199605292947</v>
      </c>
      <c r="D386" t="str">
        <f>"248030401727"</f>
        <v>248030401727</v>
      </c>
      <c r="L386">
        <v>587</v>
      </c>
      <c r="M386" t="s">
        <v>1186</v>
      </c>
      <c r="N386" t="str">
        <f>"248030401727"</f>
        <v>248030401727</v>
      </c>
      <c r="O386" t="str">
        <f>"460027199605292947"</f>
        <v>460027199605292947</v>
      </c>
    </row>
    <row r="387" customFormat="1" spans="1:15">
      <c r="A387">
        <v>588</v>
      </c>
      <c r="B387" t="s">
        <v>1187</v>
      </c>
      <c r="C387" t="str">
        <f>"469023200107172043"</f>
        <v>469023200107172043</v>
      </c>
      <c r="D387" t="str">
        <f>"248030503308"</f>
        <v>248030503308</v>
      </c>
      <c r="L387">
        <v>588</v>
      </c>
      <c r="M387" t="s">
        <v>1187</v>
      </c>
      <c r="N387" t="str">
        <f>"248030503308"</f>
        <v>248030503308</v>
      </c>
      <c r="O387" t="str">
        <f>"469023200107172043"</f>
        <v>469023200107172043</v>
      </c>
    </row>
    <row r="388" customFormat="1" spans="1:15">
      <c r="A388">
        <v>589</v>
      </c>
      <c r="B388" t="s">
        <v>1188</v>
      </c>
      <c r="C388" t="str">
        <f>"460003199510252634"</f>
        <v>460003199510252634</v>
      </c>
      <c r="D388" t="str">
        <f>"248030200124"</f>
        <v>248030200124</v>
      </c>
      <c r="L388">
        <v>589</v>
      </c>
      <c r="M388" t="s">
        <v>1188</v>
      </c>
      <c r="N388" t="str">
        <f>"248030200124"</f>
        <v>248030200124</v>
      </c>
      <c r="O388" t="str">
        <f>"460003199510252634"</f>
        <v>460003199510252634</v>
      </c>
    </row>
    <row r="389" customFormat="1" spans="1:15">
      <c r="A389">
        <v>590</v>
      </c>
      <c r="B389" t="s">
        <v>527</v>
      </c>
      <c r="C389" t="str">
        <f>"460006199007070613"</f>
        <v>460006199007070613</v>
      </c>
      <c r="D389" t="str">
        <f>"248030403320"</f>
        <v>248030403320</v>
      </c>
      <c r="L389">
        <v>590</v>
      </c>
      <c r="M389" t="s">
        <v>527</v>
      </c>
      <c r="N389" t="str">
        <f>"248030403320"</f>
        <v>248030403320</v>
      </c>
      <c r="O389" t="str">
        <f>"460006199007070613"</f>
        <v>460006199007070613</v>
      </c>
    </row>
    <row r="390" customFormat="1" spans="1:15">
      <c r="A390">
        <v>592</v>
      </c>
      <c r="B390" t="s">
        <v>1189</v>
      </c>
      <c r="C390" t="str">
        <f>"460027199504090027"</f>
        <v>460027199504090027</v>
      </c>
      <c r="L390">
        <v>592</v>
      </c>
      <c r="M390" t="s">
        <v>1189</v>
      </c>
      <c r="O390" t="str">
        <f>"460027199504090027"</f>
        <v>460027199504090027</v>
      </c>
    </row>
    <row r="391" customFormat="1" spans="1:15">
      <c r="A391">
        <v>593</v>
      </c>
      <c r="B391" t="s">
        <v>1190</v>
      </c>
      <c r="C391" t="str">
        <f>"46000420020212021X"</f>
        <v>46000420020212021X</v>
      </c>
      <c r="D391" t="str">
        <f>"248030402513"</f>
        <v>248030402513</v>
      </c>
      <c r="L391">
        <v>593</v>
      </c>
      <c r="M391" t="s">
        <v>1190</v>
      </c>
      <c r="N391" t="str">
        <f>"248030402513"</f>
        <v>248030402513</v>
      </c>
      <c r="O391" t="str">
        <f>"46000420020212021X"</f>
        <v>46000420020212021X</v>
      </c>
    </row>
    <row r="392" customFormat="1" spans="1:15">
      <c r="A392">
        <v>594</v>
      </c>
      <c r="B392" t="s">
        <v>1191</v>
      </c>
      <c r="C392" t="str">
        <f>"511723200204155320"</f>
        <v>511723200204155320</v>
      </c>
      <c r="D392" t="str">
        <f>"248030501508"</f>
        <v>248030501508</v>
      </c>
      <c r="L392">
        <v>594</v>
      </c>
      <c r="M392" t="s">
        <v>1191</v>
      </c>
      <c r="N392" t="str">
        <f>"248030501508"</f>
        <v>248030501508</v>
      </c>
      <c r="O392" t="str">
        <f>"511723200204155320"</f>
        <v>511723200204155320</v>
      </c>
    </row>
    <row r="393" customFormat="1" spans="1:15">
      <c r="A393">
        <v>595</v>
      </c>
      <c r="B393" t="s">
        <v>1192</v>
      </c>
      <c r="C393" t="str">
        <f>"500108200012310825"</f>
        <v>500108200012310825</v>
      </c>
      <c r="D393" t="str">
        <f>"248030203818"</f>
        <v>248030203818</v>
      </c>
      <c r="L393">
        <v>595</v>
      </c>
      <c r="M393" t="s">
        <v>1192</v>
      </c>
      <c r="N393" t="str">
        <f>"248030203818"</f>
        <v>248030203818</v>
      </c>
      <c r="O393" t="str">
        <f>"500108200012310825"</f>
        <v>500108200012310825</v>
      </c>
    </row>
    <row r="394" customFormat="1" spans="1:15">
      <c r="A394">
        <v>596</v>
      </c>
      <c r="B394" t="s">
        <v>1193</v>
      </c>
      <c r="C394" t="str">
        <f>"460007199711137638"</f>
        <v>460007199711137638</v>
      </c>
      <c r="D394" t="str">
        <f>"248030201512"</f>
        <v>248030201512</v>
      </c>
      <c r="L394">
        <v>596</v>
      </c>
      <c r="M394" t="s">
        <v>1193</v>
      </c>
      <c r="N394" t="str">
        <f>"248030201512"</f>
        <v>248030201512</v>
      </c>
      <c r="O394" t="str">
        <f>"460007199711137638"</f>
        <v>460007199711137638</v>
      </c>
    </row>
    <row r="395" customFormat="1" spans="1:15">
      <c r="A395">
        <v>599</v>
      </c>
      <c r="B395" t="s">
        <v>1194</v>
      </c>
      <c r="C395" t="str">
        <f>"460200199404073829"</f>
        <v>460200199404073829</v>
      </c>
      <c r="D395" t="str">
        <f>"248030404003"</f>
        <v>248030404003</v>
      </c>
      <c r="L395">
        <v>599</v>
      </c>
      <c r="M395" t="s">
        <v>1194</v>
      </c>
      <c r="N395" t="str">
        <f>"248030404003"</f>
        <v>248030404003</v>
      </c>
      <c r="O395" t="str">
        <f>"460200199404073829"</f>
        <v>460200199404073829</v>
      </c>
    </row>
    <row r="396" customFormat="1" spans="1:15">
      <c r="A396">
        <v>602</v>
      </c>
      <c r="B396" t="s">
        <v>1195</v>
      </c>
      <c r="C396" t="str">
        <f>"460033199606114867"</f>
        <v>460033199606114867</v>
      </c>
      <c r="D396" t="str">
        <f>"248030104516"</f>
        <v>248030104516</v>
      </c>
      <c r="L396">
        <v>602</v>
      </c>
      <c r="M396" t="s">
        <v>1195</v>
      </c>
      <c r="N396" t="str">
        <f>"248030104516"</f>
        <v>248030104516</v>
      </c>
      <c r="O396" t="str">
        <f>"460033199606114867"</f>
        <v>460033199606114867</v>
      </c>
    </row>
    <row r="397" customFormat="1" spans="1:15">
      <c r="A397">
        <v>603</v>
      </c>
      <c r="B397" t="s">
        <v>1196</v>
      </c>
      <c r="C397" t="str">
        <f>"460027200205272010"</f>
        <v>460027200205272010</v>
      </c>
      <c r="D397" t="str">
        <f>"248030300316"</f>
        <v>248030300316</v>
      </c>
      <c r="L397">
        <v>603</v>
      </c>
      <c r="M397" t="s">
        <v>1196</v>
      </c>
      <c r="N397" t="str">
        <f>"248030300316"</f>
        <v>248030300316</v>
      </c>
      <c r="O397" t="str">
        <f>"460027200205272010"</f>
        <v>460027200205272010</v>
      </c>
    </row>
    <row r="398" customFormat="1" spans="1:15">
      <c r="A398">
        <v>604</v>
      </c>
      <c r="B398" t="s">
        <v>1197</v>
      </c>
      <c r="C398" t="str">
        <f>"46900320001013562X"</f>
        <v>46900320001013562X</v>
      </c>
      <c r="D398" t="str">
        <f>"248030203429"</f>
        <v>248030203429</v>
      </c>
      <c r="L398">
        <v>604</v>
      </c>
      <c r="M398" t="s">
        <v>1197</v>
      </c>
      <c r="N398" t="str">
        <f>"248030203429"</f>
        <v>248030203429</v>
      </c>
      <c r="O398" t="str">
        <f>"46900320001013562X"</f>
        <v>46900320001013562X</v>
      </c>
    </row>
    <row r="399" customFormat="1" spans="1:15">
      <c r="A399">
        <v>605</v>
      </c>
      <c r="B399" t="s">
        <v>1198</v>
      </c>
      <c r="C399" t="str">
        <f>"460028199604087227"</f>
        <v>460028199604087227</v>
      </c>
      <c r="L399">
        <v>605</v>
      </c>
      <c r="M399" t="s">
        <v>1198</v>
      </c>
      <c r="O399" t="str">
        <f>"460028199604087227"</f>
        <v>460028199604087227</v>
      </c>
    </row>
    <row r="400" customFormat="1" spans="1:15">
      <c r="A400">
        <v>606</v>
      </c>
      <c r="B400" t="s">
        <v>1199</v>
      </c>
      <c r="C400" t="str">
        <f>"130636200010215422"</f>
        <v>130636200010215422</v>
      </c>
      <c r="D400" t="str">
        <f>"248030100919"</f>
        <v>248030100919</v>
      </c>
      <c r="L400">
        <v>606</v>
      </c>
      <c r="M400" t="s">
        <v>1199</v>
      </c>
      <c r="N400" t="str">
        <f>"248030100919"</f>
        <v>248030100919</v>
      </c>
      <c r="O400" t="str">
        <f>"130636200010215422"</f>
        <v>130636200010215422</v>
      </c>
    </row>
    <row r="401" customFormat="1" spans="1:15">
      <c r="A401">
        <v>607</v>
      </c>
      <c r="B401" t="s">
        <v>1200</v>
      </c>
      <c r="C401" t="str">
        <f>"46000319940928042X"</f>
        <v>46000319940928042X</v>
      </c>
      <c r="D401" t="str">
        <f>"248030103802"</f>
        <v>248030103802</v>
      </c>
      <c r="L401">
        <v>607</v>
      </c>
      <c r="M401" t="s">
        <v>1200</v>
      </c>
      <c r="N401" t="str">
        <f>"248030103802"</f>
        <v>248030103802</v>
      </c>
      <c r="O401" t="str">
        <f>"46000319940928042X"</f>
        <v>46000319940928042X</v>
      </c>
    </row>
    <row r="402" customFormat="1" spans="1:15">
      <c r="A402">
        <v>608</v>
      </c>
      <c r="B402" t="s">
        <v>1201</v>
      </c>
      <c r="C402" t="str">
        <f>"460003199911162680"</f>
        <v>460003199911162680</v>
      </c>
      <c r="D402" t="str">
        <f>"248030401324"</f>
        <v>248030401324</v>
      </c>
      <c r="L402">
        <v>608</v>
      </c>
      <c r="M402" t="s">
        <v>1201</v>
      </c>
      <c r="N402" t="str">
        <f>"248030401324"</f>
        <v>248030401324</v>
      </c>
      <c r="O402" t="str">
        <f>"460003199911162680"</f>
        <v>460003199911162680</v>
      </c>
    </row>
    <row r="403" customFormat="1" spans="1:15">
      <c r="A403">
        <v>609</v>
      </c>
      <c r="B403" t="s">
        <v>1202</v>
      </c>
      <c r="C403" t="str">
        <f>"460003200206253021"</f>
        <v>460003200206253021</v>
      </c>
      <c r="D403" t="str">
        <f>"248030402514"</f>
        <v>248030402514</v>
      </c>
      <c r="L403">
        <v>609</v>
      </c>
      <c r="M403" t="s">
        <v>1202</v>
      </c>
      <c r="N403" t="str">
        <f>"248030402514"</f>
        <v>248030402514</v>
      </c>
      <c r="O403" t="str">
        <f>"460003200206253021"</f>
        <v>460003200206253021</v>
      </c>
    </row>
    <row r="404" customFormat="1" spans="1:15">
      <c r="A404">
        <v>611</v>
      </c>
      <c r="B404" t="s">
        <v>1203</v>
      </c>
      <c r="C404" t="str">
        <f>"46000619911015812X"</f>
        <v>46000619911015812X</v>
      </c>
      <c r="L404">
        <v>611</v>
      </c>
      <c r="M404" t="s">
        <v>1203</v>
      </c>
      <c r="O404" t="str">
        <f>"46000619911015812X"</f>
        <v>46000619911015812X</v>
      </c>
    </row>
    <row r="405" customFormat="1" spans="1:15">
      <c r="A405">
        <v>613</v>
      </c>
      <c r="B405" t="s">
        <v>1204</v>
      </c>
      <c r="C405" t="str">
        <f>"420682199611184520"</f>
        <v>420682199611184520</v>
      </c>
      <c r="L405">
        <v>613</v>
      </c>
      <c r="M405" t="s">
        <v>1204</v>
      </c>
      <c r="O405" t="str">
        <f>"420682199611184520"</f>
        <v>420682199611184520</v>
      </c>
    </row>
    <row r="406" customFormat="1" spans="1:15">
      <c r="A406">
        <v>614</v>
      </c>
      <c r="B406" t="s">
        <v>1205</v>
      </c>
      <c r="C406" t="str">
        <f>"510923199605105628"</f>
        <v>510923199605105628</v>
      </c>
      <c r="D406" t="str">
        <f>"248030104422"</f>
        <v>248030104422</v>
      </c>
      <c r="L406">
        <v>614</v>
      </c>
      <c r="M406" t="s">
        <v>1205</v>
      </c>
      <c r="N406" t="str">
        <f>"248030104422"</f>
        <v>248030104422</v>
      </c>
      <c r="O406" t="str">
        <f>"510923199605105628"</f>
        <v>510923199605105628</v>
      </c>
    </row>
    <row r="407" customFormat="1" spans="1:15">
      <c r="A407">
        <v>616</v>
      </c>
      <c r="B407" t="s">
        <v>1206</v>
      </c>
      <c r="C407" t="str">
        <f>"440881199910271411"</f>
        <v>440881199910271411</v>
      </c>
      <c r="D407" t="str">
        <f>"248030202727"</f>
        <v>248030202727</v>
      </c>
      <c r="L407">
        <v>616</v>
      </c>
      <c r="M407" t="s">
        <v>1206</v>
      </c>
      <c r="N407" t="str">
        <f>"248030202727"</f>
        <v>248030202727</v>
      </c>
      <c r="O407" t="str">
        <f>"440881199910271411"</f>
        <v>440881199910271411</v>
      </c>
    </row>
    <row r="408" customFormat="1" spans="1:15">
      <c r="A408">
        <v>617</v>
      </c>
      <c r="B408" t="s">
        <v>421</v>
      </c>
      <c r="C408" t="str">
        <f>"14022119921208001X"</f>
        <v>14022119921208001X</v>
      </c>
      <c r="D408" t="str">
        <f>"248030201917"</f>
        <v>248030201917</v>
      </c>
      <c r="L408">
        <v>617</v>
      </c>
      <c r="M408" t="s">
        <v>421</v>
      </c>
      <c r="N408" t="str">
        <f>"248030201917"</f>
        <v>248030201917</v>
      </c>
      <c r="O408" t="str">
        <f>"14022119921208001X"</f>
        <v>14022119921208001X</v>
      </c>
    </row>
    <row r="409" customFormat="1" spans="1:15">
      <c r="A409">
        <v>618</v>
      </c>
      <c r="B409" t="s">
        <v>1207</v>
      </c>
      <c r="C409" t="str">
        <f>"460006199307184022"</f>
        <v>460006199307184022</v>
      </c>
      <c r="D409" t="str">
        <f>"248030501225"</f>
        <v>248030501225</v>
      </c>
      <c r="L409">
        <v>618</v>
      </c>
      <c r="M409" t="s">
        <v>1207</v>
      </c>
      <c r="N409" t="str">
        <f>"248030501225"</f>
        <v>248030501225</v>
      </c>
      <c r="O409" t="str">
        <f>"460006199307184022"</f>
        <v>460006199307184022</v>
      </c>
    </row>
    <row r="410" customFormat="1" spans="1:15">
      <c r="A410">
        <v>619</v>
      </c>
      <c r="B410" t="s">
        <v>1208</v>
      </c>
      <c r="C410" t="str">
        <f>"460003199611273821"</f>
        <v>460003199611273821</v>
      </c>
      <c r="D410" t="str">
        <f>"248030202917"</f>
        <v>248030202917</v>
      </c>
      <c r="L410">
        <v>619</v>
      </c>
      <c r="M410" t="s">
        <v>1208</v>
      </c>
      <c r="N410" t="str">
        <f>"248030202917"</f>
        <v>248030202917</v>
      </c>
      <c r="O410" t="str">
        <f>"460003199611273821"</f>
        <v>460003199611273821</v>
      </c>
    </row>
    <row r="411" customFormat="1" spans="1:15">
      <c r="A411">
        <v>621</v>
      </c>
      <c r="B411" t="s">
        <v>1209</v>
      </c>
      <c r="C411" t="str">
        <f>"460006199506100688"</f>
        <v>460006199506100688</v>
      </c>
      <c r="D411" t="str">
        <f>"248030104524"</f>
        <v>248030104524</v>
      </c>
      <c r="L411">
        <v>621</v>
      </c>
      <c r="M411" t="s">
        <v>1209</v>
      </c>
      <c r="N411" t="str">
        <f>"248030104524"</f>
        <v>248030104524</v>
      </c>
      <c r="O411" t="str">
        <f>"460006199506100688"</f>
        <v>460006199506100688</v>
      </c>
    </row>
    <row r="412" customFormat="1" spans="1:15">
      <c r="A412">
        <v>622</v>
      </c>
      <c r="B412" t="s">
        <v>1210</v>
      </c>
      <c r="C412" t="str">
        <f>"460004199905313223"</f>
        <v>460004199905313223</v>
      </c>
      <c r="D412" t="str">
        <f>"248030403612"</f>
        <v>248030403612</v>
      </c>
      <c r="L412">
        <v>622</v>
      </c>
      <c r="M412" t="s">
        <v>1210</v>
      </c>
      <c r="N412" t="str">
        <f>"248030403612"</f>
        <v>248030403612</v>
      </c>
      <c r="O412" t="str">
        <f>"460004199905313223"</f>
        <v>460004199905313223</v>
      </c>
    </row>
    <row r="413" customFormat="1" spans="1:15">
      <c r="A413">
        <v>623</v>
      </c>
      <c r="B413" t="s">
        <v>1211</v>
      </c>
      <c r="C413" t="str">
        <f>"522422199912163828"</f>
        <v>522422199912163828</v>
      </c>
      <c r="D413" t="str">
        <f>"248030202224"</f>
        <v>248030202224</v>
      </c>
      <c r="L413">
        <v>623</v>
      </c>
      <c r="M413" t="s">
        <v>1211</v>
      </c>
      <c r="N413" t="str">
        <f>"248030202224"</f>
        <v>248030202224</v>
      </c>
      <c r="O413" t="str">
        <f>"522422199912163828"</f>
        <v>522422199912163828</v>
      </c>
    </row>
    <row r="414" customFormat="1" spans="1:15">
      <c r="A414">
        <v>625</v>
      </c>
      <c r="B414" t="s">
        <v>1212</v>
      </c>
      <c r="C414" t="str">
        <f>"469003199804052716"</f>
        <v>469003199804052716</v>
      </c>
      <c r="D414" t="str">
        <f>"248030402426"</f>
        <v>248030402426</v>
      </c>
      <c r="L414">
        <v>625</v>
      </c>
      <c r="M414" t="s">
        <v>1212</v>
      </c>
      <c r="N414" t="str">
        <f>"248030402426"</f>
        <v>248030402426</v>
      </c>
      <c r="O414" t="str">
        <f>"469003199804052716"</f>
        <v>469003199804052716</v>
      </c>
    </row>
    <row r="415" customFormat="1" spans="1:15">
      <c r="A415">
        <v>627</v>
      </c>
      <c r="B415" t="s">
        <v>1213</v>
      </c>
      <c r="C415" t="str">
        <f>"460033200210094180"</f>
        <v>460033200210094180</v>
      </c>
      <c r="L415">
        <v>627</v>
      </c>
      <c r="M415" t="s">
        <v>1213</v>
      </c>
      <c r="O415" t="str">
        <f>"460033200210094180"</f>
        <v>460033200210094180</v>
      </c>
    </row>
    <row r="416" customFormat="1" spans="1:15">
      <c r="A416">
        <v>631</v>
      </c>
      <c r="B416" t="s">
        <v>1214</v>
      </c>
      <c r="C416" t="str">
        <f>"460004199508060066"</f>
        <v>460004199508060066</v>
      </c>
      <c r="D416" t="str">
        <f>"248030203117"</f>
        <v>248030203117</v>
      </c>
      <c r="L416">
        <v>631</v>
      </c>
      <c r="M416" t="s">
        <v>1214</v>
      </c>
      <c r="N416" t="str">
        <f>"248030203117"</f>
        <v>248030203117</v>
      </c>
      <c r="O416" t="str">
        <f>"460004199508060066"</f>
        <v>460004199508060066</v>
      </c>
    </row>
    <row r="417" customFormat="1" spans="1:15">
      <c r="A417">
        <v>634</v>
      </c>
      <c r="B417" t="s">
        <v>1215</v>
      </c>
      <c r="C417" t="str">
        <f>"510524200009285546"</f>
        <v>510524200009285546</v>
      </c>
      <c r="L417">
        <v>634</v>
      </c>
      <c r="M417" t="s">
        <v>1215</v>
      </c>
      <c r="O417" t="str">
        <f>"510524200009285546"</f>
        <v>510524200009285546</v>
      </c>
    </row>
    <row r="418" customFormat="1" spans="1:15">
      <c r="A418">
        <v>636</v>
      </c>
      <c r="B418" t="s">
        <v>1216</v>
      </c>
      <c r="C418" t="str">
        <f>"46002819901007092X"</f>
        <v>46002819901007092X</v>
      </c>
      <c r="D418" t="str">
        <f>"248030402812"</f>
        <v>248030402812</v>
      </c>
      <c r="L418">
        <v>636</v>
      </c>
      <c r="M418" t="s">
        <v>1216</v>
      </c>
      <c r="N418" t="str">
        <f>"248030402812"</f>
        <v>248030402812</v>
      </c>
      <c r="O418" t="str">
        <f>"46002819901007092X"</f>
        <v>46002819901007092X</v>
      </c>
    </row>
    <row r="419" customFormat="1" spans="1:15">
      <c r="A419">
        <v>637</v>
      </c>
      <c r="B419" t="s">
        <v>1217</v>
      </c>
      <c r="C419" t="str">
        <f>"500241200005035521"</f>
        <v>500241200005035521</v>
      </c>
      <c r="D419" t="str">
        <f>"248030203816"</f>
        <v>248030203816</v>
      </c>
      <c r="L419">
        <v>637</v>
      </c>
      <c r="M419" t="s">
        <v>1217</v>
      </c>
      <c r="N419" t="str">
        <f>"248030203816"</f>
        <v>248030203816</v>
      </c>
      <c r="O419" t="str">
        <f>"500241200005035521"</f>
        <v>500241200005035521</v>
      </c>
    </row>
    <row r="420" customFormat="1" spans="1:15">
      <c r="A420">
        <v>638</v>
      </c>
      <c r="B420" t="s">
        <v>1218</v>
      </c>
      <c r="C420" t="str">
        <f>"460031199612236817"</f>
        <v>460031199612236817</v>
      </c>
      <c r="D420" t="str">
        <f>"248030201115"</f>
        <v>248030201115</v>
      </c>
      <c r="L420">
        <v>638</v>
      </c>
      <c r="M420" t="s">
        <v>1218</v>
      </c>
      <c r="N420" t="str">
        <f>"248030201115"</f>
        <v>248030201115</v>
      </c>
      <c r="O420" t="str">
        <f>"460031199612236817"</f>
        <v>460031199612236817</v>
      </c>
    </row>
    <row r="421" customFormat="1" spans="1:15">
      <c r="A421">
        <v>640</v>
      </c>
      <c r="B421" t="s">
        <v>1219</v>
      </c>
      <c r="C421" t="str">
        <f>"331082199610192787"</f>
        <v>331082199610192787</v>
      </c>
      <c r="D421" t="str">
        <f>"248030500324"</f>
        <v>248030500324</v>
      </c>
      <c r="L421">
        <v>640</v>
      </c>
      <c r="M421" t="s">
        <v>1219</v>
      </c>
      <c r="N421" t="str">
        <f>"248030500324"</f>
        <v>248030500324</v>
      </c>
      <c r="O421" t="str">
        <f>"331082199610192787"</f>
        <v>331082199610192787</v>
      </c>
    </row>
    <row r="422" customFormat="1" spans="1:15">
      <c r="A422">
        <v>641</v>
      </c>
      <c r="B422" t="s">
        <v>1205</v>
      </c>
      <c r="C422" t="str">
        <f>"410711198306112022"</f>
        <v>410711198306112022</v>
      </c>
      <c r="L422">
        <v>641</v>
      </c>
      <c r="M422" t="s">
        <v>1205</v>
      </c>
      <c r="O422" t="str">
        <f>"410711198306112022"</f>
        <v>410711198306112022</v>
      </c>
    </row>
    <row r="423" customFormat="1" spans="1:15">
      <c r="A423">
        <v>643</v>
      </c>
      <c r="B423" t="s">
        <v>1220</v>
      </c>
      <c r="C423" t="str">
        <f>"460004200103115829"</f>
        <v>460004200103115829</v>
      </c>
      <c r="D423" t="str">
        <f>"248030401824"</f>
        <v>248030401824</v>
      </c>
      <c r="L423">
        <v>643</v>
      </c>
      <c r="M423" t="s">
        <v>1220</v>
      </c>
      <c r="N423" t="str">
        <f>"248030401824"</f>
        <v>248030401824</v>
      </c>
      <c r="O423" t="str">
        <f>"460004200103115829"</f>
        <v>460004200103115829</v>
      </c>
    </row>
    <row r="424" customFormat="1" spans="1:15">
      <c r="A424">
        <v>644</v>
      </c>
      <c r="B424" t="s">
        <v>1221</v>
      </c>
      <c r="C424" t="str">
        <f>"460026199812222427"</f>
        <v>460026199812222427</v>
      </c>
      <c r="D424" t="str">
        <f>"248030300711"</f>
        <v>248030300711</v>
      </c>
      <c r="L424">
        <v>644</v>
      </c>
      <c r="M424" t="s">
        <v>1221</v>
      </c>
      <c r="N424" t="str">
        <f>"248030300711"</f>
        <v>248030300711</v>
      </c>
      <c r="O424" t="str">
        <f>"460026199812222427"</f>
        <v>460026199812222427</v>
      </c>
    </row>
    <row r="425" customFormat="1" spans="1:15">
      <c r="A425">
        <v>645</v>
      </c>
      <c r="B425" t="s">
        <v>1222</v>
      </c>
      <c r="C425" t="str">
        <f>"469027200009284848"</f>
        <v>469027200009284848</v>
      </c>
      <c r="D425" t="str">
        <f>"248030401806"</f>
        <v>248030401806</v>
      </c>
      <c r="L425">
        <v>645</v>
      </c>
      <c r="M425" t="s">
        <v>1222</v>
      </c>
      <c r="N425" t="str">
        <f>"248030401806"</f>
        <v>248030401806</v>
      </c>
      <c r="O425" t="str">
        <f>"469027200009284848"</f>
        <v>469027200009284848</v>
      </c>
    </row>
    <row r="426" customFormat="1" spans="1:15">
      <c r="A426">
        <v>646</v>
      </c>
      <c r="B426" t="s">
        <v>1223</v>
      </c>
      <c r="C426" t="str">
        <f>"46000319911128142X"</f>
        <v>46000319911128142X</v>
      </c>
      <c r="D426" t="str">
        <f>"248030300415"</f>
        <v>248030300415</v>
      </c>
      <c r="L426">
        <v>646</v>
      </c>
      <c r="M426" t="s">
        <v>1223</v>
      </c>
      <c r="N426" t="str">
        <f>"248030300415"</f>
        <v>248030300415</v>
      </c>
      <c r="O426" t="str">
        <f>"46000319911128142X"</f>
        <v>46000319911128142X</v>
      </c>
    </row>
    <row r="427" customFormat="1" spans="1:15">
      <c r="A427">
        <v>647</v>
      </c>
      <c r="B427" t="s">
        <v>1224</v>
      </c>
      <c r="C427" t="str">
        <f>"460030199907200022"</f>
        <v>460030199907200022</v>
      </c>
      <c r="D427" t="str">
        <f>"248030203930"</f>
        <v>248030203930</v>
      </c>
      <c r="L427">
        <v>647</v>
      </c>
      <c r="M427" t="s">
        <v>1224</v>
      </c>
      <c r="N427" t="str">
        <f>"248030203930"</f>
        <v>248030203930</v>
      </c>
      <c r="O427" t="str">
        <f>"460030199907200022"</f>
        <v>460030199907200022</v>
      </c>
    </row>
    <row r="428" customFormat="1" spans="1:15">
      <c r="A428">
        <v>649</v>
      </c>
      <c r="B428" t="s">
        <v>1225</v>
      </c>
      <c r="C428" t="str">
        <f>"460031200101300026"</f>
        <v>460031200101300026</v>
      </c>
      <c r="D428" t="str">
        <f>"248030302011"</f>
        <v>248030302011</v>
      </c>
      <c r="L428">
        <v>649</v>
      </c>
      <c r="M428" t="s">
        <v>1225</v>
      </c>
      <c r="N428" t="str">
        <f>"248030302011"</f>
        <v>248030302011</v>
      </c>
      <c r="O428" t="str">
        <f>"460031200101300026"</f>
        <v>460031200101300026</v>
      </c>
    </row>
    <row r="429" customFormat="1" spans="1:15">
      <c r="A429">
        <v>650</v>
      </c>
      <c r="B429" t="s">
        <v>1226</v>
      </c>
      <c r="C429" t="str">
        <f>"460004200012094057"</f>
        <v>460004200012094057</v>
      </c>
      <c r="D429" t="str">
        <f>"248030201901"</f>
        <v>248030201901</v>
      </c>
      <c r="L429">
        <v>650</v>
      </c>
      <c r="M429" t="s">
        <v>1226</v>
      </c>
      <c r="N429" t="str">
        <f>"248030201901"</f>
        <v>248030201901</v>
      </c>
      <c r="O429" t="str">
        <f>"460004200012094057"</f>
        <v>460004200012094057</v>
      </c>
    </row>
    <row r="430" customFormat="1" spans="1:15">
      <c r="A430">
        <v>651</v>
      </c>
      <c r="B430" t="s">
        <v>1227</v>
      </c>
      <c r="C430" t="str">
        <f>"460006199904282325"</f>
        <v>460006199904282325</v>
      </c>
      <c r="D430" t="str">
        <f>"248030404213"</f>
        <v>248030404213</v>
      </c>
      <c r="L430">
        <v>651</v>
      </c>
      <c r="M430" t="s">
        <v>1227</v>
      </c>
      <c r="N430" t="str">
        <f>"248030404213"</f>
        <v>248030404213</v>
      </c>
      <c r="O430" t="str">
        <f>"460006199904282325"</f>
        <v>460006199904282325</v>
      </c>
    </row>
    <row r="431" customFormat="1" spans="1:15">
      <c r="A431">
        <v>652</v>
      </c>
      <c r="B431" t="s">
        <v>1228</v>
      </c>
      <c r="C431" t="str">
        <f>"460200199901165521"</f>
        <v>460200199901165521</v>
      </c>
      <c r="D431" t="str">
        <f>"248030502312"</f>
        <v>248030502312</v>
      </c>
      <c r="L431">
        <v>652</v>
      </c>
      <c r="M431" t="s">
        <v>1228</v>
      </c>
      <c r="N431" t="str">
        <f>"248030502312"</f>
        <v>248030502312</v>
      </c>
      <c r="O431" t="str">
        <f>"460200199901165521"</f>
        <v>460200199901165521</v>
      </c>
    </row>
    <row r="432" customFormat="1" spans="1:15">
      <c r="A432">
        <v>654</v>
      </c>
      <c r="B432" t="s">
        <v>1229</v>
      </c>
      <c r="C432" t="str">
        <f>"460025200101252127"</f>
        <v>460025200101252127</v>
      </c>
      <c r="D432" t="str">
        <f>"248030402920"</f>
        <v>248030402920</v>
      </c>
      <c r="L432">
        <v>654</v>
      </c>
      <c r="M432" t="s">
        <v>1229</v>
      </c>
      <c r="N432" t="str">
        <f>"248030402920"</f>
        <v>248030402920</v>
      </c>
      <c r="O432" t="str">
        <f>"460025200101252127"</f>
        <v>460025200101252127</v>
      </c>
    </row>
    <row r="433" customFormat="1" spans="1:15">
      <c r="A433">
        <v>655</v>
      </c>
      <c r="B433" t="s">
        <v>1230</v>
      </c>
      <c r="C433" t="str">
        <f>"141082199711300024"</f>
        <v>141082199711300024</v>
      </c>
      <c r="D433" t="str">
        <f>"248030404222"</f>
        <v>248030404222</v>
      </c>
      <c r="L433">
        <v>655</v>
      </c>
      <c r="M433" t="s">
        <v>1230</v>
      </c>
      <c r="N433" t="str">
        <f>"248030404222"</f>
        <v>248030404222</v>
      </c>
      <c r="O433" t="str">
        <f>"141082199711300024"</f>
        <v>141082199711300024</v>
      </c>
    </row>
    <row r="434" customFormat="1" spans="1:15">
      <c r="A434">
        <v>656</v>
      </c>
      <c r="B434" t="s">
        <v>1231</v>
      </c>
      <c r="C434" t="str">
        <f>"469007200102115824"</f>
        <v>469007200102115824</v>
      </c>
      <c r="D434" t="str">
        <f>"248030200430"</f>
        <v>248030200430</v>
      </c>
      <c r="L434">
        <v>656</v>
      </c>
      <c r="M434" t="s">
        <v>1231</v>
      </c>
      <c r="N434" t="str">
        <f>"248030200430"</f>
        <v>248030200430</v>
      </c>
      <c r="O434" t="str">
        <f>"469007200102115824"</f>
        <v>469007200102115824</v>
      </c>
    </row>
    <row r="435" customFormat="1" spans="1:15">
      <c r="A435">
        <v>657</v>
      </c>
      <c r="B435" t="s">
        <v>1232</v>
      </c>
      <c r="C435" t="str">
        <f>"460033199411284508"</f>
        <v>460033199411284508</v>
      </c>
      <c r="L435">
        <v>657</v>
      </c>
      <c r="M435" t="s">
        <v>1232</v>
      </c>
      <c r="O435" t="str">
        <f>"460033199411284508"</f>
        <v>460033199411284508</v>
      </c>
    </row>
    <row r="436" customFormat="1" spans="1:15">
      <c r="A436">
        <v>658</v>
      </c>
      <c r="B436" t="s">
        <v>1233</v>
      </c>
      <c r="C436" t="str">
        <f>"33078219930616392X"</f>
        <v>33078219930616392X</v>
      </c>
      <c r="D436" t="str">
        <f>"248030102027"</f>
        <v>248030102027</v>
      </c>
      <c r="L436">
        <v>658</v>
      </c>
      <c r="M436" t="s">
        <v>1233</v>
      </c>
      <c r="N436" t="str">
        <f>"248030102027"</f>
        <v>248030102027</v>
      </c>
      <c r="O436" t="str">
        <f>"33078219930616392X"</f>
        <v>33078219930616392X</v>
      </c>
    </row>
    <row r="437" customFormat="1" spans="1:15">
      <c r="A437">
        <v>659</v>
      </c>
      <c r="B437" t="s">
        <v>1234</v>
      </c>
      <c r="C437" t="str">
        <f>"469023200202102916"</f>
        <v>469023200202102916</v>
      </c>
      <c r="D437" t="str">
        <f>"248030201718"</f>
        <v>248030201718</v>
      </c>
      <c r="L437">
        <v>659</v>
      </c>
      <c r="M437" t="s">
        <v>1234</v>
      </c>
      <c r="N437" t="str">
        <f>"248030201718"</f>
        <v>248030201718</v>
      </c>
      <c r="O437" t="str">
        <f>"469023200202102916"</f>
        <v>469023200202102916</v>
      </c>
    </row>
    <row r="438" customFormat="1" spans="1:15">
      <c r="A438">
        <v>662</v>
      </c>
      <c r="B438" t="s">
        <v>1235</v>
      </c>
      <c r="C438" t="str">
        <f>"530424199002061649"</f>
        <v>530424199002061649</v>
      </c>
      <c r="L438">
        <v>662</v>
      </c>
      <c r="M438" t="s">
        <v>1235</v>
      </c>
      <c r="O438" t="str">
        <f>"530424199002061649"</f>
        <v>530424199002061649</v>
      </c>
    </row>
    <row r="439" customFormat="1" spans="1:15">
      <c r="A439">
        <v>663</v>
      </c>
      <c r="B439" t="s">
        <v>1236</v>
      </c>
      <c r="C439" t="str">
        <f>"46902719990425448X"</f>
        <v>46902719990425448X</v>
      </c>
      <c r="D439" t="str">
        <f>"248030501305"</f>
        <v>248030501305</v>
      </c>
      <c r="L439">
        <v>663</v>
      </c>
      <c r="M439" t="s">
        <v>1236</v>
      </c>
      <c r="N439" t="str">
        <f>"248030501305"</f>
        <v>248030501305</v>
      </c>
      <c r="O439" t="str">
        <f>"46902719990425448X"</f>
        <v>46902719990425448X</v>
      </c>
    </row>
    <row r="440" customFormat="1" spans="1:15">
      <c r="A440">
        <v>664</v>
      </c>
      <c r="B440" t="s">
        <v>1237</v>
      </c>
      <c r="C440" t="str">
        <f>"460027199307204160"</f>
        <v>460027199307204160</v>
      </c>
      <c r="D440" t="str">
        <f>"248030104522"</f>
        <v>248030104522</v>
      </c>
      <c r="L440">
        <v>664</v>
      </c>
      <c r="M440" t="s">
        <v>1237</v>
      </c>
      <c r="N440" t="str">
        <f>"248030104522"</f>
        <v>248030104522</v>
      </c>
      <c r="O440" t="str">
        <f>"460027199307204160"</f>
        <v>460027199307204160</v>
      </c>
    </row>
    <row r="441" customFormat="1" spans="1:15">
      <c r="A441">
        <v>665</v>
      </c>
      <c r="B441" t="s">
        <v>1238</v>
      </c>
      <c r="C441" t="str">
        <f>"460005200006071920"</f>
        <v>460005200006071920</v>
      </c>
      <c r="D441" t="str">
        <f>"248030100504"</f>
        <v>248030100504</v>
      </c>
      <c r="L441">
        <v>665</v>
      </c>
      <c r="M441" t="s">
        <v>1238</v>
      </c>
      <c r="N441" t="str">
        <f>"248030100504"</f>
        <v>248030100504</v>
      </c>
      <c r="O441" t="str">
        <f>"460005200006071920"</f>
        <v>460005200006071920</v>
      </c>
    </row>
    <row r="442" customFormat="1" spans="1:15">
      <c r="A442">
        <v>667</v>
      </c>
      <c r="B442" t="s">
        <v>1239</v>
      </c>
      <c r="C442" t="str">
        <f>"460104199801091211"</f>
        <v>460104199801091211</v>
      </c>
      <c r="L442">
        <v>667</v>
      </c>
      <c r="M442" t="s">
        <v>1239</v>
      </c>
      <c r="O442" t="str">
        <f>"460104199801091211"</f>
        <v>460104199801091211</v>
      </c>
    </row>
    <row r="443" customFormat="1" spans="1:15">
      <c r="A443">
        <v>669</v>
      </c>
      <c r="B443" t="s">
        <v>1240</v>
      </c>
      <c r="C443" t="str">
        <f>"46003120000623522X"</f>
        <v>46003120000623522X</v>
      </c>
      <c r="D443" t="str">
        <f>"248030103713"</f>
        <v>248030103713</v>
      </c>
      <c r="L443">
        <v>669</v>
      </c>
      <c r="M443" t="s">
        <v>1240</v>
      </c>
      <c r="N443" t="str">
        <f>"248030103713"</f>
        <v>248030103713</v>
      </c>
      <c r="O443" t="str">
        <f>"46003120000623522X"</f>
        <v>46003120000623522X</v>
      </c>
    </row>
    <row r="444" customFormat="1" spans="1:15">
      <c r="A444">
        <v>670</v>
      </c>
      <c r="B444" t="s">
        <v>1241</v>
      </c>
      <c r="C444" t="str">
        <f>"460025200203222113"</f>
        <v>460025200203222113</v>
      </c>
      <c r="D444" t="str">
        <f>"248030302411"</f>
        <v>248030302411</v>
      </c>
      <c r="L444">
        <v>670</v>
      </c>
      <c r="M444" t="s">
        <v>1241</v>
      </c>
      <c r="N444" t="str">
        <f>"248030302411"</f>
        <v>248030302411</v>
      </c>
      <c r="O444" t="str">
        <f>"460025200203222113"</f>
        <v>460025200203222113</v>
      </c>
    </row>
    <row r="445" customFormat="1" spans="1:15">
      <c r="A445">
        <v>671</v>
      </c>
      <c r="B445" t="s">
        <v>1242</v>
      </c>
      <c r="C445" t="str">
        <f>"460027199401294430"</f>
        <v>460027199401294430</v>
      </c>
      <c r="D445" t="str">
        <f>"248030201325"</f>
        <v>248030201325</v>
      </c>
      <c r="L445">
        <v>671</v>
      </c>
      <c r="M445" t="s">
        <v>1242</v>
      </c>
      <c r="N445" t="str">
        <f>"248030201325"</f>
        <v>248030201325</v>
      </c>
      <c r="O445" t="str">
        <f>"460027199401294430"</f>
        <v>460027199401294430</v>
      </c>
    </row>
    <row r="446" customFormat="1" spans="1:15">
      <c r="A446">
        <v>672</v>
      </c>
      <c r="B446" t="s">
        <v>1243</v>
      </c>
      <c r="C446" t="str">
        <f>"460036199101142423"</f>
        <v>460036199101142423</v>
      </c>
      <c r="D446" t="str">
        <f>"248030400415"</f>
        <v>248030400415</v>
      </c>
      <c r="L446">
        <v>672</v>
      </c>
      <c r="M446" t="s">
        <v>1243</v>
      </c>
      <c r="N446" t="str">
        <f>"248030400415"</f>
        <v>248030400415</v>
      </c>
      <c r="O446" t="str">
        <f>"460036199101142423"</f>
        <v>460036199101142423</v>
      </c>
    </row>
    <row r="447" customFormat="1" spans="1:15">
      <c r="A447">
        <v>674</v>
      </c>
      <c r="B447" t="s">
        <v>1244</v>
      </c>
      <c r="C447" t="str">
        <f>"43042419951222001X"</f>
        <v>43042419951222001X</v>
      </c>
      <c r="D447" t="str">
        <f>"248030202912"</f>
        <v>248030202912</v>
      </c>
      <c r="L447">
        <v>674</v>
      </c>
      <c r="M447" t="s">
        <v>1244</v>
      </c>
      <c r="N447" t="str">
        <f>"248030202912"</f>
        <v>248030202912</v>
      </c>
      <c r="O447" t="str">
        <f>"43042419951222001X"</f>
        <v>43042419951222001X</v>
      </c>
    </row>
    <row r="448" customFormat="1" spans="1:15">
      <c r="A448">
        <v>675</v>
      </c>
      <c r="B448" t="s">
        <v>1245</v>
      </c>
      <c r="C448" t="str">
        <f>"460031199107125622"</f>
        <v>460031199107125622</v>
      </c>
      <c r="D448" t="str">
        <f>"248030103924"</f>
        <v>248030103924</v>
      </c>
      <c r="L448">
        <v>675</v>
      </c>
      <c r="M448" t="s">
        <v>1245</v>
      </c>
      <c r="N448" t="str">
        <f>"248030103924"</f>
        <v>248030103924</v>
      </c>
      <c r="O448" t="str">
        <f>"460031199107125622"</f>
        <v>460031199107125622</v>
      </c>
    </row>
    <row r="449" customFormat="1" spans="1:15">
      <c r="A449">
        <v>676</v>
      </c>
      <c r="B449" t="s">
        <v>1246</v>
      </c>
      <c r="C449" t="str">
        <f>"46003119940228161X"</f>
        <v>46003119940228161X</v>
      </c>
      <c r="D449" t="str">
        <f>"248030201110"</f>
        <v>248030201110</v>
      </c>
      <c r="L449">
        <v>676</v>
      </c>
      <c r="M449" t="s">
        <v>1246</v>
      </c>
      <c r="N449" t="str">
        <f>"248030201110"</f>
        <v>248030201110</v>
      </c>
      <c r="O449" t="str">
        <f>"46003119940228161X"</f>
        <v>46003119940228161X</v>
      </c>
    </row>
    <row r="450" customFormat="1" spans="1:15">
      <c r="A450">
        <v>677</v>
      </c>
      <c r="B450" t="s">
        <v>1247</v>
      </c>
      <c r="C450" t="str">
        <f>"460006200109108745"</f>
        <v>460006200109108745</v>
      </c>
      <c r="D450" t="str">
        <f>"248030500602"</f>
        <v>248030500602</v>
      </c>
      <c r="L450">
        <v>677</v>
      </c>
      <c r="M450" t="s">
        <v>1247</v>
      </c>
      <c r="N450" t="str">
        <f>"248030500602"</f>
        <v>248030500602</v>
      </c>
      <c r="O450" t="str">
        <f>"460006200109108745"</f>
        <v>460006200109108745</v>
      </c>
    </row>
    <row r="451" customFormat="1" spans="1:15">
      <c r="A451">
        <v>678</v>
      </c>
      <c r="B451" t="s">
        <v>1248</v>
      </c>
      <c r="C451" t="str">
        <f>"460033199210140022"</f>
        <v>460033199210140022</v>
      </c>
      <c r="D451" t="str">
        <f>"248030300113"</f>
        <v>248030300113</v>
      </c>
      <c r="L451">
        <v>678</v>
      </c>
      <c r="M451" t="s">
        <v>1248</v>
      </c>
      <c r="N451" t="str">
        <f>"248030300113"</f>
        <v>248030300113</v>
      </c>
      <c r="O451" t="str">
        <f>"460033199210140022"</f>
        <v>460033199210140022</v>
      </c>
    </row>
    <row r="452" customFormat="1" spans="1:15">
      <c r="A452">
        <v>680</v>
      </c>
      <c r="B452" t="s">
        <v>1249</v>
      </c>
      <c r="C452" t="str">
        <f>"460003199409122843"</f>
        <v>460003199409122843</v>
      </c>
      <c r="D452" t="str">
        <f>"248030200312"</f>
        <v>248030200312</v>
      </c>
      <c r="L452">
        <v>680</v>
      </c>
      <c r="M452" t="s">
        <v>1249</v>
      </c>
      <c r="N452" t="str">
        <f>"248030200312"</f>
        <v>248030200312</v>
      </c>
      <c r="O452" t="str">
        <f>"460003199409122843"</f>
        <v>460003199409122843</v>
      </c>
    </row>
    <row r="453" customFormat="1" spans="1:15">
      <c r="A453">
        <v>681</v>
      </c>
      <c r="B453" t="s">
        <v>1250</v>
      </c>
      <c r="C453" t="str">
        <f>"460004199608190829"</f>
        <v>460004199608190829</v>
      </c>
      <c r="D453" t="str">
        <f>"248030302022"</f>
        <v>248030302022</v>
      </c>
      <c r="L453">
        <v>681</v>
      </c>
      <c r="M453" t="s">
        <v>1250</v>
      </c>
      <c r="N453" t="str">
        <f>"248030302022"</f>
        <v>248030302022</v>
      </c>
      <c r="O453" t="str">
        <f>"460004199608190829"</f>
        <v>460004199608190829</v>
      </c>
    </row>
    <row r="454" customFormat="1" spans="1:15">
      <c r="A454">
        <v>683</v>
      </c>
      <c r="B454" t="s">
        <v>599</v>
      </c>
      <c r="C454" t="str">
        <f>"230803199104050317"</f>
        <v>230803199104050317</v>
      </c>
      <c r="D454" t="str">
        <f>"248030103920"</f>
        <v>248030103920</v>
      </c>
      <c r="L454">
        <v>683</v>
      </c>
      <c r="M454" t="s">
        <v>599</v>
      </c>
      <c r="N454" t="str">
        <f>"248030103920"</f>
        <v>248030103920</v>
      </c>
      <c r="O454" t="str">
        <f>"230803199104050317"</f>
        <v>230803199104050317</v>
      </c>
    </row>
    <row r="455" customFormat="1" spans="1:15">
      <c r="A455">
        <v>684</v>
      </c>
      <c r="B455" t="s">
        <v>1251</v>
      </c>
      <c r="C455" t="str">
        <f>"469003199705055014"</f>
        <v>469003199705055014</v>
      </c>
      <c r="D455" t="str">
        <f>"248030201607"</f>
        <v>248030201607</v>
      </c>
      <c r="L455">
        <v>684</v>
      </c>
      <c r="M455" t="s">
        <v>1251</v>
      </c>
      <c r="N455" t="str">
        <f>"248030201607"</f>
        <v>248030201607</v>
      </c>
      <c r="O455" t="str">
        <f>"469003199705055014"</f>
        <v>469003199705055014</v>
      </c>
    </row>
    <row r="456" customFormat="1" spans="1:15">
      <c r="A456">
        <v>687</v>
      </c>
      <c r="B456" t="s">
        <v>1252</v>
      </c>
      <c r="C456" t="str">
        <f>"210203199107240523"</f>
        <v>210203199107240523</v>
      </c>
      <c r="L456">
        <v>687</v>
      </c>
      <c r="M456" t="s">
        <v>1252</v>
      </c>
      <c r="O456" t="str">
        <f>"210203199107240523"</f>
        <v>210203199107240523</v>
      </c>
    </row>
    <row r="457" customFormat="1" spans="1:15">
      <c r="A457">
        <v>688</v>
      </c>
      <c r="B457" t="s">
        <v>1253</v>
      </c>
      <c r="C457" t="str">
        <f>"51050220010320744X"</f>
        <v>51050220010320744X</v>
      </c>
      <c r="D457" t="str">
        <f>"248030501622"</f>
        <v>248030501622</v>
      </c>
      <c r="L457">
        <v>688</v>
      </c>
      <c r="M457" t="s">
        <v>1253</v>
      </c>
      <c r="N457" t="str">
        <f>"248030501622"</f>
        <v>248030501622</v>
      </c>
      <c r="O457" t="str">
        <f>"51050220010320744X"</f>
        <v>51050220010320744X</v>
      </c>
    </row>
    <row r="458" customFormat="1" spans="1:15">
      <c r="A458">
        <v>689</v>
      </c>
      <c r="B458" t="s">
        <v>1254</v>
      </c>
      <c r="C458" t="str">
        <f>"460103200012172720"</f>
        <v>460103200012172720</v>
      </c>
      <c r="D458" t="str">
        <f>"248030103029"</f>
        <v>248030103029</v>
      </c>
      <c r="L458">
        <v>689</v>
      </c>
      <c r="M458" t="s">
        <v>1254</v>
      </c>
      <c r="N458" t="str">
        <f>"248030103029"</f>
        <v>248030103029</v>
      </c>
      <c r="O458" t="str">
        <f>"460103200012172720"</f>
        <v>460103200012172720</v>
      </c>
    </row>
    <row r="459" customFormat="1" spans="1:15">
      <c r="A459">
        <v>690</v>
      </c>
      <c r="B459" t="s">
        <v>1255</v>
      </c>
      <c r="C459" t="str">
        <f>"460108200112025025"</f>
        <v>460108200112025025</v>
      </c>
      <c r="D459" t="str">
        <f>"248030500105"</f>
        <v>248030500105</v>
      </c>
      <c r="L459">
        <v>690</v>
      </c>
      <c r="M459" t="s">
        <v>1255</v>
      </c>
      <c r="N459" t="str">
        <f>"248030500105"</f>
        <v>248030500105</v>
      </c>
      <c r="O459" t="str">
        <f>"460108200112025025"</f>
        <v>460108200112025025</v>
      </c>
    </row>
    <row r="460" customFormat="1" spans="1:15">
      <c r="A460">
        <v>691</v>
      </c>
      <c r="B460" t="s">
        <v>1256</v>
      </c>
      <c r="C460" t="str">
        <f>"460102198807102121"</f>
        <v>460102198807102121</v>
      </c>
      <c r="D460" t="str">
        <f>"248030300723"</f>
        <v>248030300723</v>
      </c>
      <c r="L460">
        <v>691</v>
      </c>
      <c r="M460" t="s">
        <v>1256</v>
      </c>
      <c r="N460" t="str">
        <f>"248030300723"</f>
        <v>248030300723</v>
      </c>
      <c r="O460" t="str">
        <f>"460102198807102121"</f>
        <v>460102198807102121</v>
      </c>
    </row>
    <row r="461" customFormat="1" spans="1:15">
      <c r="A461">
        <v>692</v>
      </c>
      <c r="B461" t="s">
        <v>1257</v>
      </c>
      <c r="C461" t="str">
        <f>"469024200111181221"</f>
        <v>469024200111181221</v>
      </c>
      <c r="D461" t="str">
        <f>"248030104603"</f>
        <v>248030104603</v>
      </c>
      <c r="L461">
        <v>692</v>
      </c>
      <c r="M461" t="s">
        <v>1257</v>
      </c>
      <c r="N461" t="str">
        <f>"248030104603"</f>
        <v>248030104603</v>
      </c>
      <c r="O461" t="str">
        <f>"469024200111181221"</f>
        <v>469024200111181221</v>
      </c>
    </row>
    <row r="462" customFormat="1" spans="1:15">
      <c r="A462">
        <v>693</v>
      </c>
      <c r="B462" t="s">
        <v>1258</v>
      </c>
      <c r="C462" t="str">
        <f>"460003199908146639"</f>
        <v>460003199908146639</v>
      </c>
      <c r="D462" t="str">
        <f>"248030202116"</f>
        <v>248030202116</v>
      </c>
      <c r="L462">
        <v>693</v>
      </c>
      <c r="M462" t="s">
        <v>1258</v>
      </c>
      <c r="N462" t="str">
        <f>"248030202116"</f>
        <v>248030202116</v>
      </c>
      <c r="O462" t="str">
        <f>"460003199908146639"</f>
        <v>460003199908146639</v>
      </c>
    </row>
    <row r="463" customFormat="1" spans="1:15">
      <c r="A463">
        <v>694</v>
      </c>
      <c r="B463" t="s">
        <v>1259</v>
      </c>
      <c r="C463" t="str">
        <f>"34128219950823244X"</f>
        <v>34128219950823244X</v>
      </c>
      <c r="D463" t="str">
        <f>"248030200901"</f>
        <v>248030200901</v>
      </c>
      <c r="L463">
        <v>694</v>
      </c>
      <c r="M463" t="s">
        <v>1259</v>
      </c>
      <c r="N463" t="str">
        <f>"248030200901"</f>
        <v>248030200901</v>
      </c>
      <c r="O463" t="str">
        <f>"34128219950823244X"</f>
        <v>34128219950823244X</v>
      </c>
    </row>
    <row r="464" customFormat="1" spans="1:15">
      <c r="A464">
        <v>698</v>
      </c>
      <c r="B464" t="s">
        <v>1260</v>
      </c>
      <c r="C464" t="str">
        <f>"440811199705200623"</f>
        <v>440811199705200623</v>
      </c>
      <c r="D464" t="str">
        <f>"248030501420"</f>
        <v>248030501420</v>
      </c>
      <c r="L464">
        <v>698</v>
      </c>
      <c r="M464" t="s">
        <v>1260</v>
      </c>
      <c r="N464" t="str">
        <f>"248030501420"</f>
        <v>248030501420</v>
      </c>
      <c r="O464" t="str">
        <f>"440811199705200623"</f>
        <v>440811199705200623</v>
      </c>
    </row>
    <row r="465" customFormat="1" spans="1:15">
      <c r="A465">
        <v>699</v>
      </c>
      <c r="B465" t="s">
        <v>1261</v>
      </c>
      <c r="C465" t="str">
        <f>"460035200010280723"</f>
        <v>460035200010280723</v>
      </c>
      <c r="D465" t="str">
        <f>"248030103529"</f>
        <v>248030103529</v>
      </c>
      <c r="L465">
        <v>699</v>
      </c>
      <c r="M465" t="s">
        <v>1261</v>
      </c>
      <c r="N465" t="str">
        <f>"248030103529"</f>
        <v>248030103529</v>
      </c>
      <c r="O465" t="str">
        <f>"460035200010280723"</f>
        <v>460035200010280723</v>
      </c>
    </row>
    <row r="466" customFormat="1" spans="1:15">
      <c r="A466">
        <v>700</v>
      </c>
      <c r="B466" t="s">
        <v>1262</v>
      </c>
      <c r="C466" t="str">
        <f>"460005200112033223"</f>
        <v>460005200112033223</v>
      </c>
      <c r="D466" t="str">
        <f>"248030202926"</f>
        <v>248030202926</v>
      </c>
      <c r="L466">
        <v>700</v>
      </c>
      <c r="M466" t="s">
        <v>1262</v>
      </c>
      <c r="N466" t="str">
        <f>"248030202926"</f>
        <v>248030202926</v>
      </c>
      <c r="O466" t="str">
        <f>"460005200112033223"</f>
        <v>460005200112033223</v>
      </c>
    </row>
    <row r="467" customFormat="1" spans="1:15">
      <c r="A467">
        <v>701</v>
      </c>
      <c r="B467" t="s">
        <v>1263</v>
      </c>
      <c r="C467" t="str">
        <f>"460107200112092627"</f>
        <v>460107200112092627</v>
      </c>
      <c r="D467" t="str">
        <f>"248030104412"</f>
        <v>248030104412</v>
      </c>
      <c r="L467">
        <v>701</v>
      </c>
      <c r="M467" t="s">
        <v>1263</v>
      </c>
      <c r="N467" t="str">
        <f>"248030104412"</f>
        <v>248030104412</v>
      </c>
      <c r="O467" t="str">
        <f>"460107200112092627"</f>
        <v>460107200112092627</v>
      </c>
    </row>
    <row r="468" customFormat="1" spans="1:15">
      <c r="A468">
        <v>702</v>
      </c>
      <c r="B468" t="s">
        <v>1264</v>
      </c>
      <c r="C468" t="str">
        <f>"431002199006061520"</f>
        <v>431002199006061520</v>
      </c>
      <c r="D468" t="str">
        <f>"248030203107"</f>
        <v>248030203107</v>
      </c>
      <c r="L468">
        <v>702</v>
      </c>
      <c r="M468" t="s">
        <v>1264</v>
      </c>
      <c r="N468" t="str">
        <f>"248030203107"</f>
        <v>248030203107</v>
      </c>
      <c r="O468" t="str">
        <f>"431002199006061520"</f>
        <v>431002199006061520</v>
      </c>
    </row>
    <row r="469" customFormat="1" spans="1:15">
      <c r="A469">
        <v>704</v>
      </c>
      <c r="B469" t="s">
        <v>1265</v>
      </c>
      <c r="C469" t="str">
        <f>"412825199711116721"</f>
        <v>412825199711116721</v>
      </c>
      <c r="D469" t="str">
        <f>"248030203404"</f>
        <v>248030203404</v>
      </c>
      <c r="L469">
        <v>704</v>
      </c>
      <c r="M469" t="s">
        <v>1265</v>
      </c>
      <c r="N469" t="str">
        <f>"248030203404"</f>
        <v>248030203404</v>
      </c>
      <c r="O469" t="str">
        <f>"412825199711116721"</f>
        <v>412825199711116721</v>
      </c>
    </row>
    <row r="470" customFormat="1" spans="1:15">
      <c r="A470">
        <v>706</v>
      </c>
      <c r="B470" t="s">
        <v>1266</v>
      </c>
      <c r="C470" t="str">
        <f>"411324199508240087"</f>
        <v>411324199508240087</v>
      </c>
      <c r="D470" t="str">
        <f>"248030103103"</f>
        <v>248030103103</v>
      </c>
      <c r="L470">
        <v>706</v>
      </c>
      <c r="M470" t="s">
        <v>1266</v>
      </c>
      <c r="N470" t="str">
        <f>"248030103103"</f>
        <v>248030103103</v>
      </c>
      <c r="O470" t="str">
        <f>"411324199508240087"</f>
        <v>411324199508240087</v>
      </c>
    </row>
    <row r="471" customFormat="1" spans="1:15">
      <c r="A471">
        <v>707</v>
      </c>
      <c r="B471" t="s">
        <v>1267</v>
      </c>
      <c r="C471" t="str">
        <f>"460030200005193316"</f>
        <v>460030200005193316</v>
      </c>
      <c r="L471">
        <v>707</v>
      </c>
      <c r="M471" t="s">
        <v>1267</v>
      </c>
      <c r="O471" t="str">
        <f>"460030200005193316"</f>
        <v>460030200005193316</v>
      </c>
    </row>
    <row r="472" customFormat="1" spans="1:15">
      <c r="A472">
        <v>709</v>
      </c>
      <c r="B472" t="s">
        <v>1268</v>
      </c>
      <c r="C472" t="str">
        <f>"460025198907051260"</f>
        <v>460025198907051260</v>
      </c>
      <c r="D472" t="str">
        <f>"248030503327"</f>
        <v>248030503327</v>
      </c>
      <c r="L472">
        <v>709</v>
      </c>
      <c r="M472" t="s">
        <v>1268</v>
      </c>
      <c r="N472" t="str">
        <f>"248030503327"</f>
        <v>248030503327</v>
      </c>
      <c r="O472" t="str">
        <f>"460025198907051260"</f>
        <v>460025198907051260</v>
      </c>
    </row>
    <row r="473" customFormat="1" spans="1:15">
      <c r="A473">
        <v>710</v>
      </c>
      <c r="B473" t="s">
        <v>1269</v>
      </c>
      <c r="C473" t="str">
        <f>"522428199201080020"</f>
        <v>522428199201080020</v>
      </c>
      <c r="D473" t="str">
        <f>"248030503202"</f>
        <v>248030503202</v>
      </c>
      <c r="L473">
        <v>710</v>
      </c>
      <c r="M473" t="s">
        <v>1269</v>
      </c>
      <c r="N473" t="str">
        <f>"248030503202"</f>
        <v>248030503202</v>
      </c>
      <c r="O473" t="str">
        <f>"522428199201080020"</f>
        <v>522428199201080020</v>
      </c>
    </row>
    <row r="474" customFormat="1" spans="1:15">
      <c r="A474">
        <v>711</v>
      </c>
      <c r="B474" t="s">
        <v>1270</v>
      </c>
      <c r="C474" t="str">
        <f>"469027200011097486"</f>
        <v>469027200011097486</v>
      </c>
      <c r="D474" t="str">
        <f>"248030400127"</f>
        <v>248030400127</v>
      </c>
      <c r="L474">
        <v>711</v>
      </c>
      <c r="M474" t="s">
        <v>1270</v>
      </c>
      <c r="N474" t="str">
        <f>"248030400127"</f>
        <v>248030400127</v>
      </c>
      <c r="O474" t="str">
        <f>"469027200011097486"</f>
        <v>469027200011097486</v>
      </c>
    </row>
    <row r="475" customFormat="1" spans="1:15">
      <c r="A475">
        <v>712</v>
      </c>
      <c r="B475" t="s">
        <v>1271</v>
      </c>
      <c r="C475" t="str">
        <f>"511322199501086444"</f>
        <v>511322199501086444</v>
      </c>
      <c r="D475" t="str">
        <f>"248030102402"</f>
        <v>248030102402</v>
      </c>
      <c r="L475">
        <v>712</v>
      </c>
      <c r="M475" t="s">
        <v>1271</v>
      </c>
      <c r="N475" t="str">
        <f>"248030102402"</f>
        <v>248030102402</v>
      </c>
      <c r="O475" t="str">
        <f>"511322199501086444"</f>
        <v>511322199501086444</v>
      </c>
    </row>
    <row r="476" customFormat="1" spans="1:15">
      <c r="A476">
        <v>713</v>
      </c>
      <c r="B476" t="s">
        <v>1272</v>
      </c>
      <c r="C476" t="str">
        <f>"421087199709045924"</f>
        <v>421087199709045924</v>
      </c>
      <c r="D476" t="str">
        <f>"248030501930"</f>
        <v>248030501930</v>
      </c>
      <c r="L476">
        <v>713</v>
      </c>
      <c r="M476" t="s">
        <v>1272</v>
      </c>
      <c r="N476" t="str">
        <f>"248030501930"</f>
        <v>248030501930</v>
      </c>
      <c r="O476" t="str">
        <f>"421087199709045924"</f>
        <v>421087199709045924</v>
      </c>
    </row>
    <row r="477" customFormat="1" spans="1:15">
      <c r="A477">
        <v>714</v>
      </c>
      <c r="B477" t="s">
        <v>1273</v>
      </c>
      <c r="C477" t="str">
        <f>"460004199306213423"</f>
        <v>460004199306213423</v>
      </c>
      <c r="D477" t="str">
        <f>"248030402606"</f>
        <v>248030402606</v>
      </c>
      <c r="L477">
        <v>714</v>
      </c>
      <c r="M477" t="s">
        <v>1273</v>
      </c>
      <c r="N477" t="str">
        <f>"248030402606"</f>
        <v>248030402606</v>
      </c>
      <c r="O477" t="str">
        <f>"460004199306213423"</f>
        <v>460004199306213423</v>
      </c>
    </row>
    <row r="478" customFormat="1" spans="1:15">
      <c r="A478">
        <v>715</v>
      </c>
      <c r="B478" t="s">
        <v>1274</v>
      </c>
      <c r="C478" t="str">
        <f>"440684199411276929"</f>
        <v>440684199411276929</v>
      </c>
      <c r="D478" t="str">
        <f>"248030203412"</f>
        <v>248030203412</v>
      </c>
      <c r="L478">
        <v>715</v>
      </c>
      <c r="M478" t="s">
        <v>1274</v>
      </c>
      <c r="N478" t="str">
        <f>"248030203412"</f>
        <v>248030203412</v>
      </c>
      <c r="O478" t="str">
        <f>"440684199411276929"</f>
        <v>440684199411276929</v>
      </c>
    </row>
    <row r="479" customFormat="1" spans="1:15">
      <c r="A479">
        <v>716</v>
      </c>
      <c r="B479" t="s">
        <v>1275</v>
      </c>
      <c r="C479" t="str">
        <f>"460030200004195723"</f>
        <v>460030200004195723</v>
      </c>
      <c r="D479" t="str">
        <f>"248030102327"</f>
        <v>248030102327</v>
      </c>
      <c r="L479">
        <v>716</v>
      </c>
      <c r="M479" t="s">
        <v>1275</v>
      </c>
      <c r="N479" t="str">
        <f>"248030102327"</f>
        <v>248030102327</v>
      </c>
      <c r="O479" t="str">
        <f>"460030200004195723"</f>
        <v>460030200004195723</v>
      </c>
    </row>
    <row r="480" customFormat="1" spans="1:15">
      <c r="A480">
        <v>718</v>
      </c>
      <c r="B480" t="s">
        <v>1276</v>
      </c>
      <c r="C480" t="str">
        <f>"469024199510262824"</f>
        <v>469024199510262824</v>
      </c>
      <c r="D480" t="str">
        <f>"248030103725"</f>
        <v>248030103725</v>
      </c>
      <c r="L480">
        <v>718</v>
      </c>
      <c r="M480" t="s">
        <v>1276</v>
      </c>
      <c r="N480" t="str">
        <f>"248030103725"</f>
        <v>248030103725</v>
      </c>
      <c r="O480" t="str">
        <f>"469024199510262824"</f>
        <v>469024199510262824</v>
      </c>
    </row>
    <row r="481" customFormat="1" spans="1:15">
      <c r="A481">
        <v>719</v>
      </c>
      <c r="B481" t="s">
        <v>1277</v>
      </c>
      <c r="C481" t="str">
        <f>"460002200112164929"</f>
        <v>460002200112164929</v>
      </c>
      <c r="D481" t="str">
        <f>"248030503013"</f>
        <v>248030503013</v>
      </c>
      <c r="L481">
        <v>719</v>
      </c>
      <c r="M481" t="s">
        <v>1277</v>
      </c>
      <c r="N481" t="str">
        <f>"248030503013"</f>
        <v>248030503013</v>
      </c>
      <c r="O481" t="str">
        <f>"460002200112164929"</f>
        <v>460002200112164929</v>
      </c>
    </row>
    <row r="482" customFormat="1" spans="1:15">
      <c r="A482">
        <v>722</v>
      </c>
      <c r="B482" t="s">
        <v>405</v>
      </c>
      <c r="C482" t="str">
        <f>"469007199210027244"</f>
        <v>469007199210027244</v>
      </c>
      <c r="D482" t="str">
        <f>"248030200210"</f>
        <v>248030200210</v>
      </c>
      <c r="L482">
        <v>722</v>
      </c>
      <c r="M482" t="s">
        <v>405</v>
      </c>
      <c r="N482" t="str">
        <f>"248030200210"</f>
        <v>248030200210</v>
      </c>
      <c r="O482" t="str">
        <f>"469007199210027244"</f>
        <v>469007199210027244</v>
      </c>
    </row>
    <row r="483" customFormat="1" spans="1:15">
      <c r="A483">
        <v>724</v>
      </c>
      <c r="B483" t="s">
        <v>1278</v>
      </c>
      <c r="C483" t="str">
        <f>"469003199708204628"</f>
        <v>469003199708204628</v>
      </c>
      <c r="D483" t="str">
        <f>"248030403217"</f>
        <v>248030403217</v>
      </c>
      <c r="L483">
        <v>724</v>
      </c>
      <c r="M483" t="s">
        <v>1278</v>
      </c>
      <c r="N483" t="str">
        <f>"248030403217"</f>
        <v>248030403217</v>
      </c>
      <c r="O483" t="str">
        <f>"469003199708204628"</f>
        <v>469003199708204628</v>
      </c>
    </row>
    <row r="484" customFormat="1" spans="1:15">
      <c r="A484">
        <v>725</v>
      </c>
      <c r="B484" t="s">
        <v>1279</v>
      </c>
      <c r="C484" t="str">
        <f>"460026200203070021"</f>
        <v>460026200203070021</v>
      </c>
      <c r="D484" t="str">
        <f>"248030400402"</f>
        <v>248030400402</v>
      </c>
      <c r="L484">
        <v>725</v>
      </c>
      <c r="M484" t="s">
        <v>1279</v>
      </c>
      <c r="N484" t="str">
        <f>"248030400402"</f>
        <v>248030400402</v>
      </c>
      <c r="O484" t="str">
        <f>"460026200203070021"</f>
        <v>460026200203070021</v>
      </c>
    </row>
    <row r="485" customFormat="1" spans="1:15">
      <c r="A485">
        <v>726</v>
      </c>
      <c r="B485" t="s">
        <v>1280</v>
      </c>
      <c r="C485" t="str">
        <f>"460028199612231241"</f>
        <v>460028199612231241</v>
      </c>
      <c r="D485" t="str">
        <f>"248030104720"</f>
        <v>248030104720</v>
      </c>
      <c r="L485">
        <v>726</v>
      </c>
      <c r="M485" t="s">
        <v>1280</v>
      </c>
      <c r="N485" t="str">
        <f>"248030104720"</f>
        <v>248030104720</v>
      </c>
      <c r="O485" t="str">
        <f>"460028199612231241"</f>
        <v>460028199612231241</v>
      </c>
    </row>
    <row r="486" customFormat="1" spans="1:15">
      <c r="A486">
        <v>728</v>
      </c>
      <c r="B486" t="s">
        <v>1281</v>
      </c>
      <c r="C486" t="str">
        <f>"46000319940605702X"</f>
        <v>46000319940605702X</v>
      </c>
      <c r="D486" t="str">
        <f>"248030402015"</f>
        <v>248030402015</v>
      </c>
      <c r="L486">
        <v>728</v>
      </c>
      <c r="M486" t="s">
        <v>1281</v>
      </c>
      <c r="N486" t="str">
        <f>"248030402015"</f>
        <v>248030402015</v>
      </c>
      <c r="O486" t="str">
        <f>"46000319940605702X"</f>
        <v>46000319940605702X</v>
      </c>
    </row>
    <row r="487" customFormat="1" spans="1:15">
      <c r="A487">
        <v>729</v>
      </c>
      <c r="B487" t="s">
        <v>1282</v>
      </c>
      <c r="C487" t="str">
        <f>"460006200203148727"</f>
        <v>460006200203148727</v>
      </c>
      <c r="D487" t="str">
        <f>"248030101121"</f>
        <v>248030101121</v>
      </c>
      <c r="L487">
        <v>729</v>
      </c>
      <c r="M487" t="s">
        <v>1282</v>
      </c>
      <c r="N487" t="str">
        <f>"248030101121"</f>
        <v>248030101121</v>
      </c>
      <c r="O487" t="str">
        <f>"460006200203148727"</f>
        <v>460006200203148727</v>
      </c>
    </row>
    <row r="488" customFormat="1" spans="1:15">
      <c r="A488">
        <v>730</v>
      </c>
      <c r="B488" t="s">
        <v>1283</v>
      </c>
      <c r="C488" t="str">
        <f>"46002720001130001X"</f>
        <v>46002720001130001X</v>
      </c>
      <c r="D488" t="str">
        <f>"248030300407"</f>
        <v>248030300407</v>
      </c>
      <c r="L488">
        <v>730</v>
      </c>
      <c r="M488" t="s">
        <v>1283</v>
      </c>
      <c r="N488" t="str">
        <f>"248030300407"</f>
        <v>248030300407</v>
      </c>
      <c r="O488" t="str">
        <f>"46002720001130001X"</f>
        <v>46002720001130001X</v>
      </c>
    </row>
    <row r="489" customFormat="1" spans="1:15">
      <c r="A489">
        <v>731</v>
      </c>
      <c r="B489" t="s">
        <v>1284</v>
      </c>
      <c r="C489" t="str">
        <f>"469003200109116728"</f>
        <v>469003200109116728</v>
      </c>
      <c r="D489" t="str">
        <f>"248030302409"</f>
        <v>248030302409</v>
      </c>
      <c r="L489">
        <v>731</v>
      </c>
      <c r="M489" t="s">
        <v>1284</v>
      </c>
      <c r="N489" t="str">
        <f>"248030302409"</f>
        <v>248030302409</v>
      </c>
      <c r="O489" t="str">
        <f>"469003200109116728"</f>
        <v>469003200109116728</v>
      </c>
    </row>
    <row r="490" customFormat="1" spans="1:15">
      <c r="A490">
        <v>732</v>
      </c>
      <c r="B490" t="s">
        <v>1285</v>
      </c>
      <c r="C490" t="str">
        <f>"460007199610055764"</f>
        <v>460007199610055764</v>
      </c>
      <c r="D490" t="str">
        <f>"248030301629"</f>
        <v>248030301629</v>
      </c>
      <c r="L490">
        <v>732</v>
      </c>
      <c r="M490" t="s">
        <v>1285</v>
      </c>
      <c r="N490" t="str">
        <f>"248030301629"</f>
        <v>248030301629</v>
      </c>
      <c r="O490" t="str">
        <f>"460007199610055764"</f>
        <v>460007199610055764</v>
      </c>
    </row>
    <row r="491" customFormat="1" spans="1:15">
      <c r="A491">
        <v>733</v>
      </c>
      <c r="B491" t="s">
        <v>1286</v>
      </c>
      <c r="C491" t="str">
        <f>"50023420000329004X"</f>
        <v>50023420000329004X</v>
      </c>
      <c r="L491">
        <v>733</v>
      </c>
      <c r="M491" t="s">
        <v>1286</v>
      </c>
      <c r="O491" t="str">
        <f>"50023420000329004X"</f>
        <v>50023420000329004X</v>
      </c>
    </row>
    <row r="492" customFormat="1" spans="1:15">
      <c r="A492">
        <v>734</v>
      </c>
      <c r="B492" t="s">
        <v>1287</v>
      </c>
      <c r="C492" t="str">
        <f>"460006199706010644"</f>
        <v>460006199706010644</v>
      </c>
      <c r="D492" t="str">
        <f>"248030104917"</f>
        <v>248030104917</v>
      </c>
      <c r="L492">
        <v>734</v>
      </c>
      <c r="M492" t="s">
        <v>1287</v>
      </c>
      <c r="N492" t="str">
        <f>"248030104917"</f>
        <v>248030104917</v>
      </c>
      <c r="O492" t="str">
        <f>"460006199706010644"</f>
        <v>460006199706010644</v>
      </c>
    </row>
    <row r="493" customFormat="1" spans="1:15">
      <c r="A493">
        <v>735</v>
      </c>
      <c r="B493" t="s">
        <v>1288</v>
      </c>
      <c r="C493" t="str">
        <f>"460026199902090923"</f>
        <v>460026199902090923</v>
      </c>
      <c r="L493">
        <v>735</v>
      </c>
      <c r="M493" t="s">
        <v>1288</v>
      </c>
      <c r="O493" t="str">
        <f>"460026199902090923"</f>
        <v>460026199902090923</v>
      </c>
    </row>
    <row r="494" customFormat="1" spans="1:15">
      <c r="A494">
        <v>736</v>
      </c>
      <c r="B494" t="s">
        <v>1289</v>
      </c>
      <c r="C494" t="str">
        <f>"460003200205143429"</f>
        <v>460003200205143429</v>
      </c>
      <c r="D494" t="str">
        <f>"248030500624"</f>
        <v>248030500624</v>
      </c>
      <c r="L494">
        <v>736</v>
      </c>
      <c r="M494" t="s">
        <v>1289</v>
      </c>
      <c r="N494" t="str">
        <f>"248030500624"</f>
        <v>248030500624</v>
      </c>
      <c r="O494" t="str">
        <f>"460003200205143429"</f>
        <v>460003200205143429</v>
      </c>
    </row>
    <row r="495" customFormat="1" spans="1:15">
      <c r="A495">
        <v>737</v>
      </c>
      <c r="B495" t="s">
        <v>1290</v>
      </c>
      <c r="C495" t="str">
        <f>"460003200101176824"</f>
        <v>460003200101176824</v>
      </c>
      <c r="D495" t="str">
        <f>"248030300721"</f>
        <v>248030300721</v>
      </c>
      <c r="L495">
        <v>737</v>
      </c>
      <c r="M495" t="s">
        <v>1290</v>
      </c>
      <c r="N495" t="str">
        <f>"248030300721"</f>
        <v>248030300721</v>
      </c>
      <c r="O495" t="str">
        <f>"460003200101176824"</f>
        <v>460003200101176824</v>
      </c>
    </row>
    <row r="496" customFormat="1" spans="1:15">
      <c r="A496">
        <v>738</v>
      </c>
      <c r="B496" t="s">
        <v>1291</v>
      </c>
      <c r="C496" t="str">
        <f>"460300199906080645"</f>
        <v>460300199906080645</v>
      </c>
      <c r="D496" t="str">
        <f>"248030100917"</f>
        <v>248030100917</v>
      </c>
      <c r="L496">
        <v>738</v>
      </c>
      <c r="M496" t="s">
        <v>1291</v>
      </c>
      <c r="N496" t="str">
        <f>"248030100917"</f>
        <v>248030100917</v>
      </c>
      <c r="O496" t="str">
        <f>"460300199906080645"</f>
        <v>460300199906080645</v>
      </c>
    </row>
    <row r="497" customFormat="1" spans="1:15">
      <c r="A497">
        <v>739</v>
      </c>
      <c r="B497" t="s">
        <v>1292</v>
      </c>
      <c r="C497" t="str">
        <f>"460103199903150327"</f>
        <v>460103199903150327</v>
      </c>
      <c r="D497" t="str">
        <f>"248030504213"</f>
        <v>248030504213</v>
      </c>
      <c r="L497">
        <v>739</v>
      </c>
      <c r="M497" t="s">
        <v>1292</v>
      </c>
      <c r="N497" t="str">
        <f>"248030504213"</f>
        <v>248030504213</v>
      </c>
      <c r="O497" t="str">
        <f>"460103199903150327"</f>
        <v>460103199903150327</v>
      </c>
    </row>
    <row r="498" customFormat="1" spans="1:15">
      <c r="A498">
        <v>740</v>
      </c>
      <c r="B498" t="s">
        <v>1293</v>
      </c>
      <c r="C498" t="str">
        <f>"460103199809271528"</f>
        <v>460103199809271528</v>
      </c>
      <c r="D498" t="str">
        <f>"248030103201"</f>
        <v>248030103201</v>
      </c>
      <c r="L498">
        <v>740</v>
      </c>
      <c r="M498" t="s">
        <v>1293</v>
      </c>
      <c r="N498" t="str">
        <f>"248030103201"</f>
        <v>248030103201</v>
      </c>
      <c r="O498" t="str">
        <f>"460103199809271528"</f>
        <v>460103199809271528</v>
      </c>
    </row>
    <row r="499" customFormat="1" spans="1:15">
      <c r="A499">
        <v>742</v>
      </c>
      <c r="B499" t="s">
        <v>1294</v>
      </c>
      <c r="C499" t="str">
        <f>"46000719940506926X"</f>
        <v>46000719940506926X</v>
      </c>
      <c r="L499">
        <v>742</v>
      </c>
      <c r="M499" t="s">
        <v>1294</v>
      </c>
      <c r="O499" t="str">
        <f>"46000719940506926X"</f>
        <v>46000719940506926X</v>
      </c>
    </row>
    <row r="500" customFormat="1" spans="1:15">
      <c r="A500">
        <v>744</v>
      </c>
      <c r="B500" t="s">
        <v>1295</v>
      </c>
      <c r="C500" t="str">
        <f>"460003200202242667"</f>
        <v>460003200202242667</v>
      </c>
      <c r="D500" t="str">
        <f>"248030401518"</f>
        <v>248030401518</v>
      </c>
      <c r="L500">
        <v>744</v>
      </c>
      <c r="M500" t="s">
        <v>1295</v>
      </c>
      <c r="N500" t="str">
        <f>"248030401518"</f>
        <v>248030401518</v>
      </c>
      <c r="O500" t="str">
        <f>"460003200202242667"</f>
        <v>460003200202242667</v>
      </c>
    </row>
    <row r="501" customFormat="1" spans="1:15">
      <c r="A501">
        <v>745</v>
      </c>
      <c r="B501" t="s">
        <v>1296</v>
      </c>
      <c r="C501" t="str">
        <f>"460031200011200021"</f>
        <v>460031200011200021</v>
      </c>
      <c r="D501" t="str">
        <f>"248030202820"</f>
        <v>248030202820</v>
      </c>
      <c r="L501">
        <v>745</v>
      </c>
      <c r="M501" t="s">
        <v>1296</v>
      </c>
      <c r="N501" t="str">
        <f>"248030202820"</f>
        <v>248030202820</v>
      </c>
      <c r="O501" t="str">
        <f>"460031200011200021"</f>
        <v>460031200011200021</v>
      </c>
    </row>
    <row r="502" customFormat="1" spans="1:15">
      <c r="A502">
        <v>746</v>
      </c>
      <c r="B502" t="s">
        <v>1297</v>
      </c>
      <c r="C502" t="str">
        <f>"469024199903216829"</f>
        <v>469024199903216829</v>
      </c>
      <c r="D502" t="str">
        <f>"248030504208"</f>
        <v>248030504208</v>
      </c>
      <c r="L502">
        <v>746</v>
      </c>
      <c r="M502" t="s">
        <v>1297</v>
      </c>
      <c r="N502" t="str">
        <f>"248030504208"</f>
        <v>248030504208</v>
      </c>
      <c r="O502" t="str">
        <f>"469024199903216829"</f>
        <v>469024199903216829</v>
      </c>
    </row>
    <row r="503" customFormat="1" spans="1:15">
      <c r="A503">
        <v>747</v>
      </c>
      <c r="B503" t="s">
        <v>1298</v>
      </c>
      <c r="C503" t="str">
        <f>"460003199008316022"</f>
        <v>460003199008316022</v>
      </c>
      <c r="D503" t="str">
        <f>"248030201616"</f>
        <v>248030201616</v>
      </c>
      <c r="L503">
        <v>747</v>
      </c>
      <c r="M503" t="s">
        <v>1298</v>
      </c>
      <c r="N503" t="str">
        <f>"248030201616"</f>
        <v>248030201616</v>
      </c>
      <c r="O503" t="str">
        <f>"460003199008316022"</f>
        <v>460003199008316022</v>
      </c>
    </row>
    <row r="504" customFormat="1" spans="1:15">
      <c r="A504">
        <v>748</v>
      </c>
      <c r="B504" t="s">
        <v>1299</v>
      </c>
      <c r="C504" t="str">
        <f>"460006199808212714"</f>
        <v>460006199808212714</v>
      </c>
      <c r="L504">
        <v>748</v>
      </c>
      <c r="M504" t="s">
        <v>1299</v>
      </c>
      <c r="O504" t="str">
        <f>"460006199808212714"</f>
        <v>460006199808212714</v>
      </c>
    </row>
    <row r="505" customFormat="1" spans="1:15">
      <c r="A505">
        <v>749</v>
      </c>
      <c r="B505" t="s">
        <v>1300</v>
      </c>
      <c r="C505" t="str">
        <f>"469028199707030045"</f>
        <v>469028199707030045</v>
      </c>
      <c r="D505" t="str">
        <f>"248030103704"</f>
        <v>248030103704</v>
      </c>
      <c r="L505">
        <v>749</v>
      </c>
      <c r="M505" t="s">
        <v>1300</v>
      </c>
      <c r="N505" t="str">
        <f>"248030103704"</f>
        <v>248030103704</v>
      </c>
      <c r="O505" t="str">
        <f>"469028199707030045"</f>
        <v>469028199707030045</v>
      </c>
    </row>
    <row r="506" customFormat="1" spans="1:15">
      <c r="A506">
        <v>750</v>
      </c>
      <c r="B506" t="s">
        <v>1301</v>
      </c>
      <c r="C506" t="str">
        <f>"460031199910056443"</f>
        <v>460031199910056443</v>
      </c>
      <c r="D506" t="str">
        <f>"248030100818"</f>
        <v>248030100818</v>
      </c>
      <c r="L506">
        <v>750</v>
      </c>
      <c r="M506" t="s">
        <v>1301</v>
      </c>
      <c r="N506" t="str">
        <f>"248030100818"</f>
        <v>248030100818</v>
      </c>
      <c r="O506" t="str">
        <f>"460031199910056443"</f>
        <v>460031199910056443</v>
      </c>
    </row>
    <row r="507" customFormat="1" spans="1:15">
      <c r="A507">
        <v>751</v>
      </c>
      <c r="B507" t="s">
        <v>1302</v>
      </c>
      <c r="C507" t="str">
        <f>"142701198902280624"</f>
        <v>142701198902280624</v>
      </c>
      <c r="D507" t="str">
        <f>"248030102414"</f>
        <v>248030102414</v>
      </c>
      <c r="L507">
        <v>751</v>
      </c>
      <c r="M507" t="s">
        <v>1302</v>
      </c>
      <c r="N507" t="str">
        <f>"248030102414"</f>
        <v>248030102414</v>
      </c>
      <c r="O507" t="str">
        <f>"142701198902280624"</f>
        <v>142701198902280624</v>
      </c>
    </row>
    <row r="508" customFormat="1" spans="1:15">
      <c r="A508">
        <v>752</v>
      </c>
      <c r="B508" t="s">
        <v>1303</v>
      </c>
      <c r="C508" t="str">
        <f>"460004199410285216"</f>
        <v>460004199410285216</v>
      </c>
      <c r="D508" t="str">
        <f>"248030103712"</f>
        <v>248030103712</v>
      </c>
      <c r="L508">
        <v>752</v>
      </c>
      <c r="M508" t="s">
        <v>1303</v>
      </c>
      <c r="N508" t="str">
        <f>"248030103712"</f>
        <v>248030103712</v>
      </c>
      <c r="O508" t="str">
        <f>"460004199410285216"</f>
        <v>460004199410285216</v>
      </c>
    </row>
    <row r="509" customFormat="1" spans="1:15">
      <c r="A509">
        <v>753</v>
      </c>
      <c r="B509" t="s">
        <v>1304</v>
      </c>
      <c r="C509" t="str">
        <f>"460004199503243437"</f>
        <v>460004199503243437</v>
      </c>
      <c r="D509" t="str">
        <f>"248030401113"</f>
        <v>248030401113</v>
      </c>
      <c r="L509">
        <v>753</v>
      </c>
      <c r="M509" t="s">
        <v>1304</v>
      </c>
      <c r="N509" t="str">
        <f>"248030401113"</f>
        <v>248030401113</v>
      </c>
      <c r="O509" t="str">
        <f>"460004199503243437"</f>
        <v>460004199503243437</v>
      </c>
    </row>
    <row r="510" customFormat="1" spans="1:15">
      <c r="A510">
        <v>754</v>
      </c>
      <c r="B510" t="s">
        <v>1305</v>
      </c>
      <c r="C510" t="str">
        <f>"469023200212033723"</f>
        <v>469023200212033723</v>
      </c>
      <c r="D510" t="str">
        <f>"248030202718"</f>
        <v>248030202718</v>
      </c>
      <c r="L510">
        <v>754</v>
      </c>
      <c r="M510" t="s">
        <v>1305</v>
      </c>
      <c r="N510" t="str">
        <f>"248030202718"</f>
        <v>248030202718</v>
      </c>
      <c r="O510" t="str">
        <f>"469023200212033723"</f>
        <v>469023200212033723</v>
      </c>
    </row>
    <row r="511" customFormat="1" spans="1:15">
      <c r="A511">
        <v>755</v>
      </c>
      <c r="B511" t="s">
        <v>1306</v>
      </c>
      <c r="C511" t="str">
        <f>"460025199803252732"</f>
        <v>460025199803252732</v>
      </c>
      <c r="D511" t="str">
        <f>"248030302710"</f>
        <v>248030302710</v>
      </c>
      <c r="L511">
        <v>755</v>
      </c>
      <c r="M511" t="s">
        <v>1306</v>
      </c>
      <c r="N511" t="str">
        <f>"248030302710"</f>
        <v>248030302710</v>
      </c>
      <c r="O511" t="str">
        <f>"460025199803252732"</f>
        <v>460025199803252732</v>
      </c>
    </row>
    <row r="512" customFormat="1" spans="1:15">
      <c r="A512">
        <v>757</v>
      </c>
      <c r="B512" t="s">
        <v>1307</v>
      </c>
      <c r="C512" t="str">
        <f>"150302199811140545"</f>
        <v>150302199811140545</v>
      </c>
      <c r="D512" t="str">
        <f>"248030203013"</f>
        <v>248030203013</v>
      </c>
      <c r="L512">
        <v>757</v>
      </c>
      <c r="M512" t="s">
        <v>1307</v>
      </c>
      <c r="N512" t="str">
        <f>"248030203013"</f>
        <v>248030203013</v>
      </c>
      <c r="O512" t="str">
        <f>"150302199811140545"</f>
        <v>150302199811140545</v>
      </c>
    </row>
    <row r="513" customFormat="1" spans="1:15">
      <c r="A513">
        <v>758</v>
      </c>
      <c r="B513" t="s">
        <v>1308</v>
      </c>
      <c r="C513" t="str">
        <f>"460022199411224549"</f>
        <v>460022199411224549</v>
      </c>
      <c r="D513" t="str">
        <f>"248030401722"</f>
        <v>248030401722</v>
      </c>
      <c r="L513">
        <v>758</v>
      </c>
      <c r="M513" t="s">
        <v>1308</v>
      </c>
      <c r="N513" t="str">
        <f>"248030401722"</f>
        <v>248030401722</v>
      </c>
      <c r="O513" t="str">
        <f>"460022199411224549"</f>
        <v>460022199411224549</v>
      </c>
    </row>
    <row r="514" customFormat="1" spans="1:15">
      <c r="A514">
        <v>759</v>
      </c>
      <c r="B514" t="s">
        <v>1309</v>
      </c>
      <c r="C514" t="str">
        <f>"410311199110054548"</f>
        <v>410311199110054548</v>
      </c>
      <c r="D514" t="str">
        <f>"248030203420"</f>
        <v>248030203420</v>
      </c>
      <c r="L514">
        <v>759</v>
      </c>
      <c r="M514" t="s">
        <v>1309</v>
      </c>
      <c r="N514" t="str">
        <f>"248030203420"</f>
        <v>248030203420</v>
      </c>
      <c r="O514" t="str">
        <f>"410311199110054548"</f>
        <v>410311199110054548</v>
      </c>
    </row>
    <row r="515" customFormat="1" spans="1:15">
      <c r="A515">
        <v>760</v>
      </c>
      <c r="B515" t="s">
        <v>1310</v>
      </c>
      <c r="C515" t="str">
        <f>"460102198608190966"</f>
        <v>460102198608190966</v>
      </c>
      <c r="D515" t="str">
        <f>"248030502618"</f>
        <v>248030502618</v>
      </c>
      <c r="L515">
        <v>760</v>
      </c>
      <c r="M515" t="s">
        <v>1310</v>
      </c>
      <c r="N515" t="str">
        <f>"248030502618"</f>
        <v>248030502618</v>
      </c>
      <c r="O515" t="str">
        <f>"460102198608190966"</f>
        <v>460102198608190966</v>
      </c>
    </row>
    <row r="516" customFormat="1" spans="1:15">
      <c r="A516">
        <v>761</v>
      </c>
      <c r="B516" t="s">
        <v>1311</v>
      </c>
      <c r="C516" t="str">
        <f>"430525200212084527"</f>
        <v>430525200212084527</v>
      </c>
      <c r="D516" t="str">
        <f>"248030202107"</f>
        <v>248030202107</v>
      </c>
      <c r="L516">
        <v>761</v>
      </c>
      <c r="M516" t="s">
        <v>1311</v>
      </c>
      <c r="N516" t="str">
        <f>"248030202107"</f>
        <v>248030202107</v>
      </c>
      <c r="O516" t="str">
        <f>"430525200212084527"</f>
        <v>430525200212084527</v>
      </c>
    </row>
    <row r="517" customFormat="1" spans="1:15">
      <c r="A517">
        <v>763</v>
      </c>
      <c r="B517" t="s">
        <v>20</v>
      </c>
      <c r="C517" t="str">
        <f>"460003200003092424"</f>
        <v>460003200003092424</v>
      </c>
      <c r="D517" t="str">
        <f>"248030403710"</f>
        <v>248030403710</v>
      </c>
      <c r="L517">
        <v>763</v>
      </c>
      <c r="M517" t="s">
        <v>20</v>
      </c>
      <c r="N517" t="str">
        <f>"248030403710"</f>
        <v>248030403710</v>
      </c>
      <c r="O517" t="str">
        <f>"460003200003092424"</f>
        <v>460003200003092424</v>
      </c>
    </row>
    <row r="518" customFormat="1" spans="1:15">
      <c r="A518">
        <v>765</v>
      </c>
      <c r="B518" t="s">
        <v>1312</v>
      </c>
      <c r="C518" t="str">
        <f>"460200200201240020"</f>
        <v>460200200201240020</v>
      </c>
      <c r="D518" t="str">
        <f>"248030202527"</f>
        <v>248030202527</v>
      </c>
      <c r="L518">
        <v>765</v>
      </c>
      <c r="M518" t="s">
        <v>1312</v>
      </c>
      <c r="N518" t="str">
        <f>"248030202527"</f>
        <v>248030202527</v>
      </c>
      <c r="O518" t="str">
        <f>"460200200201240020"</f>
        <v>460200200201240020</v>
      </c>
    </row>
    <row r="519" customFormat="1" spans="1:15">
      <c r="A519">
        <v>769</v>
      </c>
      <c r="B519" t="s">
        <v>1313</v>
      </c>
      <c r="C519" t="str">
        <f>"460005200204182728"</f>
        <v>460005200204182728</v>
      </c>
      <c r="D519" t="str">
        <f>"248030301529"</f>
        <v>248030301529</v>
      </c>
      <c r="L519">
        <v>769</v>
      </c>
      <c r="M519" t="s">
        <v>1313</v>
      </c>
      <c r="N519" t="str">
        <f>"248030301529"</f>
        <v>248030301529</v>
      </c>
      <c r="O519" t="str">
        <f>"460005200204182728"</f>
        <v>460005200204182728</v>
      </c>
    </row>
    <row r="520" customFormat="1" spans="1:15">
      <c r="A520">
        <v>770</v>
      </c>
      <c r="B520" t="s">
        <v>1314</v>
      </c>
      <c r="C520" t="str">
        <f>"460033199512294481"</f>
        <v>460033199512294481</v>
      </c>
      <c r="D520" t="str">
        <f>"248030401420"</f>
        <v>248030401420</v>
      </c>
      <c r="L520">
        <v>770</v>
      </c>
      <c r="M520" t="s">
        <v>1314</v>
      </c>
      <c r="N520" t="str">
        <f>"248030401420"</f>
        <v>248030401420</v>
      </c>
      <c r="O520" t="str">
        <f>"460033199512294481"</f>
        <v>460033199512294481</v>
      </c>
    </row>
    <row r="521" customFormat="1" spans="1:15">
      <c r="A521">
        <v>772</v>
      </c>
      <c r="B521" t="s">
        <v>1315</v>
      </c>
      <c r="C521" t="str">
        <f>"460027200202234449"</f>
        <v>460027200202234449</v>
      </c>
      <c r="D521" t="str">
        <f>"248030102527"</f>
        <v>248030102527</v>
      </c>
      <c r="L521">
        <v>772</v>
      </c>
      <c r="M521" t="s">
        <v>1315</v>
      </c>
      <c r="N521" t="str">
        <f>"248030102527"</f>
        <v>248030102527</v>
      </c>
      <c r="O521" t="str">
        <f>"460027200202234449"</f>
        <v>460027200202234449</v>
      </c>
    </row>
    <row r="522" customFormat="1" spans="1:15">
      <c r="A522">
        <v>773</v>
      </c>
      <c r="B522" t="s">
        <v>1316</v>
      </c>
      <c r="C522" t="str">
        <f>"220182200110101521"</f>
        <v>220182200110101521</v>
      </c>
      <c r="D522" t="str">
        <f>"248030503219"</f>
        <v>248030503219</v>
      </c>
      <c r="L522">
        <v>773</v>
      </c>
      <c r="M522" t="s">
        <v>1316</v>
      </c>
      <c r="N522" t="str">
        <f>"248030503219"</f>
        <v>248030503219</v>
      </c>
      <c r="O522" t="str">
        <f>"220182200110101521"</f>
        <v>220182200110101521</v>
      </c>
    </row>
    <row r="523" customFormat="1" spans="1:15">
      <c r="A523">
        <v>775</v>
      </c>
      <c r="B523" t="s">
        <v>1317</v>
      </c>
      <c r="C523" t="str">
        <f>"431321200005123305"</f>
        <v>431321200005123305</v>
      </c>
      <c r="D523" t="str">
        <f>"248030300621"</f>
        <v>248030300621</v>
      </c>
      <c r="L523">
        <v>775</v>
      </c>
      <c r="M523" t="s">
        <v>1317</v>
      </c>
      <c r="N523" t="str">
        <f>"248030300621"</f>
        <v>248030300621</v>
      </c>
      <c r="O523" t="str">
        <f>"431321200005123305"</f>
        <v>431321200005123305</v>
      </c>
    </row>
    <row r="524" customFormat="1" spans="1:15">
      <c r="A524">
        <v>777</v>
      </c>
      <c r="B524" t="s">
        <v>1318</v>
      </c>
      <c r="C524" t="str">
        <f>"460006199501082329"</f>
        <v>460006199501082329</v>
      </c>
      <c r="D524" t="str">
        <f>"248030104810"</f>
        <v>248030104810</v>
      </c>
      <c r="L524">
        <v>777</v>
      </c>
      <c r="M524" t="s">
        <v>1318</v>
      </c>
      <c r="N524" t="str">
        <f>"248030104810"</f>
        <v>248030104810</v>
      </c>
      <c r="O524" t="str">
        <f>"460006199501082329"</f>
        <v>460006199501082329</v>
      </c>
    </row>
    <row r="525" customFormat="1" spans="1:15">
      <c r="A525">
        <v>778</v>
      </c>
      <c r="B525" t="s">
        <v>1319</v>
      </c>
      <c r="C525" t="str">
        <f>"522729199910074814"</f>
        <v>522729199910074814</v>
      </c>
      <c r="L525">
        <v>778</v>
      </c>
      <c r="M525" t="s">
        <v>1319</v>
      </c>
      <c r="O525" t="str">
        <f>"522729199910074814"</f>
        <v>522729199910074814</v>
      </c>
    </row>
    <row r="526" customFormat="1" spans="1:15">
      <c r="A526">
        <v>779</v>
      </c>
      <c r="B526" t="s">
        <v>1320</v>
      </c>
      <c r="C526" t="str">
        <f>"430521200105108735"</f>
        <v>430521200105108735</v>
      </c>
      <c r="D526" t="str">
        <f>"248030400303"</f>
        <v>248030400303</v>
      </c>
      <c r="L526">
        <v>779</v>
      </c>
      <c r="M526" t="s">
        <v>1320</v>
      </c>
      <c r="N526" t="str">
        <f>"248030400303"</f>
        <v>248030400303</v>
      </c>
      <c r="O526" t="str">
        <f>"430521200105108735"</f>
        <v>430521200105108735</v>
      </c>
    </row>
    <row r="527" customFormat="1" spans="1:15">
      <c r="A527">
        <v>780</v>
      </c>
      <c r="B527" t="s">
        <v>1321</v>
      </c>
      <c r="C527" t="str">
        <f>"460031199512085222"</f>
        <v>460031199512085222</v>
      </c>
      <c r="D527" t="str">
        <f>"248030100902"</f>
        <v>248030100902</v>
      </c>
      <c r="L527">
        <v>780</v>
      </c>
      <c r="M527" t="s">
        <v>1321</v>
      </c>
      <c r="N527" t="str">
        <f>"248030100902"</f>
        <v>248030100902</v>
      </c>
      <c r="O527" t="str">
        <f>"460031199512085222"</f>
        <v>460031199512085222</v>
      </c>
    </row>
    <row r="528" customFormat="1" spans="1:15">
      <c r="A528">
        <v>782</v>
      </c>
      <c r="B528" t="s">
        <v>1322</v>
      </c>
      <c r="C528" t="str">
        <f>"469007199104085782"</f>
        <v>469007199104085782</v>
      </c>
      <c r="D528" t="str">
        <f>"248030200711"</f>
        <v>248030200711</v>
      </c>
      <c r="L528">
        <v>782</v>
      </c>
      <c r="M528" t="s">
        <v>1322</v>
      </c>
      <c r="N528" t="str">
        <f>"248030200711"</f>
        <v>248030200711</v>
      </c>
      <c r="O528" t="str">
        <f>"469007199104085782"</f>
        <v>469007199104085782</v>
      </c>
    </row>
    <row r="529" customFormat="1" spans="1:15">
      <c r="A529">
        <v>783</v>
      </c>
      <c r="B529" t="s">
        <v>185</v>
      </c>
      <c r="C529" t="str">
        <f>"460006199710108142"</f>
        <v>460006199710108142</v>
      </c>
      <c r="D529" t="str">
        <f>"248030401319"</f>
        <v>248030401319</v>
      </c>
      <c r="L529">
        <v>783</v>
      </c>
      <c r="M529" t="s">
        <v>185</v>
      </c>
      <c r="N529" t="str">
        <f>"248030401319"</f>
        <v>248030401319</v>
      </c>
      <c r="O529" t="str">
        <f>"460006199710108142"</f>
        <v>460006199710108142</v>
      </c>
    </row>
    <row r="530" customFormat="1" spans="1:15">
      <c r="A530">
        <v>784</v>
      </c>
      <c r="B530" t="s">
        <v>1323</v>
      </c>
      <c r="C530" t="str">
        <f>"460007200212265366"</f>
        <v>460007200212265366</v>
      </c>
      <c r="L530">
        <v>784</v>
      </c>
      <c r="M530" t="s">
        <v>1323</v>
      </c>
      <c r="O530" t="str">
        <f>"460007200212265366"</f>
        <v>460007200212265366</v>
      </c>
    </row>
    <row r="531" customFormat="1" spans="1:15">
      <c r="A531">
        <v>787</v>
      </c>
      <c r="B531" t="s">
        <v>1324</v>
      </c>
      <c r="C531" t="str">
        <f>"460033200205173220"</f>
        <v>460033200205173220</v>
      </c>
      <c r="D531" t="str">
        <f>"248030302609"</f>
        <v>248030302609</v>
      </c>
      <c r="L531">
        <v>787</v>
      </c>
      <c r="M531" t="s">
        <v>1324</v>
      </c>
      <c r="N531" t="str">
        <f>"248030302609"</f>
        <v>248030302609</v>
      </c>
      <c r="O531" t="str">
        <f>"460033200205173220"</f>
        <v>460033200205173220</v>
      </c>
    </row>
    <row r="532" customFormat="1" spans="1:15">
      <c r="A532">
        <v>788</v>
      </c>
      <c r="B532" t="s">
        <v>1325</v>
      </c>
      <c r="C532" t="str">
        <f>"430281199702174823"</f>
        <v>430281199702174823</v>
      </c>
      <c r="D532" t="str">
        <f>"248030104726"</f>
        <v>248030104726</v>
      </c>
      <c r="L532">
        <v>788</v>
      </c>
      <c r="M532" t="s">
        <v>1325</v>
      </c>
      <c r="N532" t="str">
        <f>"248030104726"</f>
        <v>248030104726</v>
      </c>
      <c r="O532" t="str">
        <f>"430281199702174823"</f>
        <v>430281199702174823</v>
      </c>
    </row>
    <row r="533" customFormat="1" spans="1:15">
      <c r="A533">
        <v>790</v>
      </c>
      <c r="B533" t="s">
        <v>1326</v>
      </c>
      <c r="C533" t="str">
        <f>"460006199910188124"</f>
        <v>460006199910188124</v>
      </c>
      <c r="D533" t="str">
        <f>"248030101316"</f>
        <v>248030101316</v>
      </c>
      <c r="L533">
        <v>790</v>
      </c>
      <c r="M533" t="s">
        <v>1326</v>
      </c>
      <c r="N533" t="str">
        <f>"248030101316"</f>
        <v>248030101316</v>
      </c>
      <c r="O533" t="str">
        <f>"460006199910188124"</f>
        <v>460006199910188124</v>
      </c>
    </row>
    <row r="534" customFormat="1" spans="1:15">
      <c r="A534">
        <v>791</v>
      </c>
      <c r="B534" t="s">
        <v>1327</v>
      </c>
      <c r="C534" t="str">
        <f>"460031199511290857"</f>
        <v>460031199511290857</v>
      </c>
      <c r="L534">
        <v>791</v>
      </c>
      <c r="M534" t="s">
        <v>1327</v>
      </c>
      <c r="O534" t="str">
        <f>"460031199511290857"</f>
        <v>460031199511290857</v>
      </c>
    </row>
    <row r="535" customFormat="1" spans="1:15">
      <c r="A535">
        <v>792</v>
      </c>
      <c r="B535" t="s">
        <v>1328</v>
      </c>
      <c r="C535" t="str">
        <f>"460104199707210915"</f>
        <v>460104199707210915</v>
      </c>
      <c r="D535" t="str">
        <f>"248030301107"</f>
        <v>248030301107</v>
      </c>
      <c r="L535">
        <v>792</v>
      </c>
      <c r="M535" t="s">
        <v>1328</v>
      </c>
      <c r="N535" t="str">
        <f>"248030301107"</f>
        <v>248030301107</v>
      </c>
      <c r="O535" t="str">
        <f>"460104199707210915"</f>
        <v>460104199707210915</v>
      </c>
    </row>
    <row r="536" customFormat="1" spans="1:15">
      <c r="A536">
        <v>793</v>
      </c>
      <c r="B536" t="s">
        <v>1329</v>
      </c>
      <c r="C536" t="str">
        <f>"469003199611051223"</f>
        <v>469003199611051223</v>
      </c>
      <c r="L536">
        <v>793</v>
      </c>
      <c r="M536" t="s">
        <v>1329</v>
      </c>
      <c r="O536" t="str">
        <f>"469003199611051223"</f>
        <v>469003199611051223</v>
      </c>
    </row>
    <row r="537" customFormat="1" spans="1:15">
      <c r="A537">
        <v>794</v>
      </c>
      <c r="B537" t="s">
        <v>1330</v>
      </c>
      <c r="C537" t="str">
        <f>"460007199707172262"</f>
        <v>460007199707172262</v>
      </c>
      <c r="D537" t="str">
        <f>"248030503820"</f>
        <v>248030503820</v>
      </c>
      <c r="L537">
        <v>794</v>
      </c>
      <c r="M537" t="s">
        <v>1330</v>
      </c>
      <c r="N537" t="str">
        <f>"248030503820"</f>
        <v>248030503820</v>
      </c>
      <c r="O537" t="str">
        <f>"460007199707172262"</f>
        <v>460007199707172262</v>
      </c>
    </row>
    <row r="538" customFormat="1" spans="1:15">
      <c r="A538">
        <v>795</v>
      </c>
      <c r="B538" t="s">
        <v>1331</v>
      </c>
      <c r="C538" t="str">
        <f>"460007200210053386"</f>
        <v>460007200210053386</v>
      </c>
      <c r="D538" t="str">
        <f>"248030503628"</f>
        <v>248030503628</v>
      </c>
      <c r="L538">
        <v>795</v>
      </c>
      <c r="M538" t="s">
        <v>1331</v>
      </c>
      <c r="N538" t="str">
        <f>"248030503628"</f>
        <v>248030503628</v>
      </c>
      <c r="O538" t="str">
        <f>"460007200210053386"</f>
        <v>460007200210053386</v>
      </c>
    </row>
    <row r="539" customFormat="1" spans="1:15">
      <c r="A539">
        <v>797</v>
      </c>
      <c r="B539" t="s">
        <v>1332</v>
      </c>
      <c r="C539" t="str">
        <f>"469023200012277627"</f>
        <v>469023200012277627</v>
      </c>
      <c r="L539">
        <v>797</v>
      </c>
      <c r="M539" t="s">
        <v>1332</v>
      </c>
      <c r="O539" t="str">
        <f>"469023200012277627"</f>
        <v>469023200012277627</v>
      </c>
    </row>
    <row r="540" customFormat="1" spans="1:15">
      <c r="A540">
        <v>798</v>
      </c>
      <c r="B540" t="s">
        <v>1333</v>
      </c>
      <c r="C540" t="str">
        <f>"469003200103237916"</f>
        <v>469003200103237916</v>
      </c>
      <c r="D540" t="str">
        <f>"248030203703"</f>
        <v>248030203703</v>
      </c>
      <c r="L540">
        <v>798</v>
      </c>
      <c r="M540" t="s">
        <v>1333</v>
      </c>
      <c r="N540" t="str">
        <f>"248030203703"</f>
        <v>248030203703</v>
      </c>
      <c r="O540" t="str">
        <f>"469003200103237916"</f>
        <v>469003200103237916</v>
      </c>
    </row>
    <row r="541" customFormat="1" spans="1:15">
      <c r="A541">
        <v>799</v>
      </c>
      <c r="B541" t="s">
        <v>1334</v>
      </c>
      <c r="C541" t="str">
        <f>"460031199110086484"</f>
        <v>460031199110086484</v>
      </c>
      <c r="D541" t="str">
        <f>"248030401614"</f>
        <v>248030401614</v>
      </c>
      <c r="L541">
        <v>799</v>
      </c>
      <c r="M541" t="s">
        <v>1334</v>
      </c>
      <c r="N541" t="str">
        <f>"248030401614"</f>
        <v>248030401614</v>
      </c>
      <c r="O541" t="str">
        <f>"460031199110086484"</f>
        <v>460031199110086484</v>
      </c>
    </row>
    <row r="542" customFormat="1" spans="1:15">
      <c r="A542">
        <v>800</v>
      </c>
      <c r="B542" t="s">
        <v>1335</v>
      </c>
      <c r="C542" t="str">
        <f>"460031200109123212"</f>
        <v>460031200109123212</v>
      </c>
      <c r="D542" t="str">
        <f>"248030201410"</f>
        <v>248030201410</v>
      </c>
      <c r="L542">
        <v>800</v>
      </c>
      <c r="M542" t="s">
        <v>1335</v>
      </c>
      <c r="N542" t="str">
        <f>"248030201410"</f>
        <v>248030201410</v>
      </c>
      <c r="O542" t="str">
        <f>"460031200109123212"</f>
        <v>460031200109123212</v>
      </c>
    </row>
    <row r="543" customFormat="1" spans="1:15">
      <c r="A543">
        <v>801</v>
      </c>
      <c r="B543" t="s">
        <v>1336</v>
      </c>
      <c r="C543" t="str">
        <f>"460006199501140023"</f>
        <v>460006199501140023</v>
      </c>
      <c r="D543" t="str">
        <f>"248030500820"</f>
        <v>248030500820</v>
      </c>
      <c r="L543">
        <v>801</v>
      </c>
      <c r="M543" t="s">
        <v>1336</v>
      </c>
      <c r="N543" t="str">
        <f>"248030500820"</f>
        <v>248030500820</v>
      </c>
      <c r="O543" t="str">
        <f>"460006199501140023"</f>
        <v>460006199501140023</v>
      </c>
    </row>
    <row r="544" customFormat="1" spans="1:15">
      <c r="A544">
        <v>803</v>
      </c>
      <c r="B544" t="s">
        <v>1337</v>
      </c>
      <c r="C544" t="str">
        <f>"460102199310191848"</f>
        <v>460102199310191848</v>
      </c>
      <c r="L544">
        <v>803</v>
      </c>
      <c r="M544" t="s">
        <v>1337</v>
      </c>
      <c r="O544" t="str">
        <f>"460102199310191848"</f>
        <v>460102199310191848</v>
      </c>
    </row>
    <row r="545" customFormat="1" spans="1:15">
      <c r="A545">
        <v>804</v>
      </c>
      <c r="B545" t="s">
        <v>1338</v>
      </c>
      <c r="C545" t="str">
        <f>"469003200010182426"</f>
        <v>469003200010182426</v>
      </c>
      <c r="D545" t="str">
        <f>"248030300915"</f>
        <v>248030300915</v>
      </c>
      <c r="L545">
        <v>804</v>
      </c>
      <c r="M545" t="s">
        <v>1338</v>
      </c>
      <c r="N545" t="str">
        <f>"248030300915"</f>
        <v>248030300915</v>
      </c>
      <c r="O545" t="str">
        <f>"469003200010182426"</f>
        <v>469003200010182426</v>
      </c>
    </row>
    <row r="546" customFormat="1" spans="1:15">
      <c r="A546">
        <v>806</v>
      </c>
      <c r="B546" t="s">
        <v>1339</v>
      </c>
      <c r="C546" t="str">
        <f>"232330200202170426"</f>
        <v>232330200202170426</v>
      </c>
      <c r="D546" t="str">
        <f>"248030301830"</f>
        <v>248030301830</v>
      </c>
      <c r="L546">
        <v>806</v>
      </c>
      <c r="M546" t="s">
        <v>1339</v>
      </c>
      <c r="N546" t="str">
        <f>"248030301830"</f>
        <v>248030301830</v>
      </c>
      <c r="O546" t="str">
        <f>"232330200202170426"</f>
        <v>232330200202170426</v>
      </c>
    </row>
    <row r="547" customFormat="1" spans="1:15">
      <c r="A547">
        <v>807</v>
      </c>
      <c r="B547" t="s">
        <v>1340</v>
      </c>
      <c r="C547" t="str">
        <f>"460200199706050040"</f>
        <v>460200199706050040</v>
      </c>
      <c r="D547" t="str">
        <f>"248030200907"</f>
        <v>248030200907</v>
      </c>
      <c r="L547">
        <v>807</v>
      </c>
      <c r="M547" t="s">
        <v>1340</v>
      </c>
      <c r="N547" t="str">
        <f>"248030200907"</f>
        <v>248030200907</v>
      </c>
      <c r="O547" t="str">
        <f>"460200199706050040"</f>
        <v>460200199706050040</v>
      </c>
    </row>
    <row r="548" customFormat="1" spans="1:15">
      <c r="A548">
        <v>808</v>
      </c>
      <c r="B548" t="s">
        <v>1341</v>
      </c>
      <c r="C548" t="str">
        <f>"50023119880825002X"</f>
        <v>50023119880825002X</v>
      </c>
      <c r="D548" t="str">
        <f>"248030103308"</f>
        <v>248030103308</v>
      </c>
      <c r="L548">
        <v>808</v>
      </c>
      <c r="M548" t="s">
        <v>1341</v>
      </c>
      <c r="N548" t="str">
        <f>"248030103308"</f>
        <v>248030103308</v>
      </c>
      <c r="O548" t="str">
        <f>"50023119880825002X"</f>
        <v>50023119880825002X</v>
      </c>
    </row>
    <row r="549" customFormat="1" spans="1:15">
      <c r="A549">
        <v>810</v>
      </c>
      <c r="B549" t="s">
        <v>1342</v>
      </c>
      <c r="C549" t="str">
        <f>"211403200007100029"</f>
        <v>211403200007100029</v>
      </c>
      <c r="D549" t="str">
        <f>"248030203227"</f>
        <v>248030203227</v>
      </c>
      <c r="L549">
        <v>810</v>
      </c>
      <c r="M549" t="s">
        <v>1342</v>
      </c>
      <c r="N549" t="str">
        <f>"248030203227"</f>
        <v>248030203227</v>
      </c>
      <c r="O549" t="str">
        <f>"211403200007100029"</f>
        <v>211403200007100029</v>
      </c>
    </row>
    <row r="550" customFormat="1" spans="1:15">
      <c r="A550">
        <v>811</v>
      </c>
      <c r="B550" t="s">
        <v>312</v>
      </c>
      <c r="C550" t="str">
        <f>"46902320020308262X"</f>
        <v>46902320020308262X</v>
      </c>
      <c r="D550" t="str">
        <f>"248030100421"</f>
        <v>248030100421</v>
      </c>
      <c r="L550">
        <v>811</v>
      </c>
      <c r="M550" t="s">
        <v>312</v>
      </c>
      <c r="N550" t="str">
        <f>"248030100421"</f>
        <v>248030100421</v>
      </c>
      <c r="O550" t="str">
        <f>"46902320020308262X"</f>
        <v>46902320020308262X</v>
      </c>
    </row>
    <row r="551" customFormat="1" spans="1:15">
      <c r="A551">
        <v>813</v>
      </c>
      <c r="B551" t="s">
        <v>1343</v>
      </c>
      <c r="C551" t="str">
        <f>"460006199511280628"</f>
        <v>460006199511280628</v>
      </c>
      <c r="D551" t="str">
        <f>"248030200222"</f>
        <v>248030200222</v>
      </c>
      <c r="L551">
        <v>813</v>
      </c>
      <c r="M551" t="s">
        <v>1343</v>
      </c>
      <c r="N551" t="str">
        <f>"248030200222"</f>
        <v>248030200222</v>
      </c>
      <c r="O551" t="str">
        <f>"460006199511280628"</f>
        <v>460006199511280628</v>
      </c>
    </row>
    <row r="552" customFormat="1" spans="1:15">
      <c r="A552">
        <v>814</v>
      </c>
      <c r="B552" t="s">
        <v>1344</v>
      </c>
      <c r="C552" t="str">
        <f>"460007199612044962"</f>
        <v>460007199612044962</v>
      </c>
      <c r="D552" t="str">
        <f>"248030300309"</f>
        <v>248030300309</v>
      </c>
      <c r="L552">
        <v>814</v>
      </c>
      <c r="M552" t="s">
        <v>1344</v>
      </c>
      <c r="N552" t="str">
        <f>"248030300309"</f>
        <v>248030300309</v>
      </c>
      <c r="O552" t="str">
        <f>"460007199612044962"</f>
        <v>460007199612044962</v>
      </c>
    </row>
    <row r="553" customFormat="1" spans="1:15">
      <c r="A553">
        <v>816</v>
      </c>
      <c r="B553" t="s">
        <v>1345</v>
      </c>
      <c r="C553" t="str">
        <f>"411202199808171526"</f>
        <v>411202199808171526</v>
      </c>
      <c r="D553" t="str">
        <f>"248030203415"</f>
        <v>248030203415</v>
      </c>
      <c r="L553">
        <v>816</v>
      </c>
      <c r="M553" t="s">
        <v>1345</v>
      </c>
      <c r="N553" t="str">
        <f>"248030203415"</f>
        <v>248030203415</v>
      </c>
      <c r="O553" t="str">
        <f>"411202199808171526"</f>
        <v>411202199808171526</v>
      </c>
    </row>
    <row r="554" customFormat="1" spans="1:15">
      <c r="A554">
        <v>817</v>
      </c>
      <c r="B554" t="s">
        <v>1346</v>
      </c>
      <c r="C554" t="str">
        <f>"430702199711236522"</f>
        <v>430702199711236522</v>
      </c>
      <c r="D554" t="str">
        <f>"248030203012"</f>
        <v>248030203012</v>
      </c>
      <c r="L554">
        <v>817</v>
      </c>
      <c r="M554" t="s">
        <v>1346</v>
      </c>
      <c r="N554" t="str">
        <f>"248030203012"</f>
        <v>248030203012</v>
      </c>
      <c r="O554" t="str">
        <f>"430702199711236522"</f>
        <v>430702199711236522</v>
      </c>
    </row>
    <row r="555" customFormat="1" spans="1:15">
      <c r="A555">
        <v>818</v>
      </c>
      <c r="B555" t="s">
        <v>1347</v>
      </c>
      <c r="C555" t="str">
        <f>"452131199912040918"</f>
        <v>452131199912040918</v>
      </c>
      <c r="D555" t="str">
        <f>"248030403103"</f>
        <v>248030403103</v>
      </c>
      <c r="L555">
        <v>818</v>
      </c>
      <c r="M555" t="s">
        <v>1347</v>
      </c>
      <c r="N555" t="str">
        <f>"248030403103"</f>
        <v>248030403103</v>
      </c>
      <c r="O555" t="str">
        <f>"452131199912040918"</f>
        <v>452131199912040918</v>
      </c>
    </row>
    <row r="556" customFormat="1" spans="1:15">
      <c r="A556">
        <v>819</v>
      </c>
      <c r="B556" t="s">
        <v>150</v>
      </c>
      <c r="C556" t="str">
        <f>"460006198607204027"</f>
        <v>460006198607204027</v>
      </c>
      <c r="D556" t="str">
        <f>"248030301330"</f>
        <v>248030301330</v>
      </c>
      <c r="L556">
        <v>819</v>
      </c>
      <c r="M556" t="s">
        <v>150</v>
      </c>
      <c r="N556" t="str">
        <f>"248030301330"</f>
        <v>248030301330</v>
      </c>
      <c r="O556" t="str">
        <f>"460006198607204027"</f>
        <v>460006198607204027</v>
      </c>
    </row>
    <row r="557" customFormat="1" spans="1:15">
      <c r="A557">
        <v>820</v>
      </c>
      <c r="B557" t="s">
        <v>57</v>
      </c>
      <c r="C557" t="str">
        <f>"460034199509150424"</f>
        <v>460034199509150424</v>
      </c>
      <c r="D557" t="str">
        <f>"248030301706"</f>
        <v>248030301706</v>
      </c>
      <c r="L557">
        <v>820</v>
      </c>
      <c r="M557" t="s">
        <v>57</v>
      </c>
      <c r="N557" t="str">
        <f>"248030301706"</f>
        <v>248030301706</v>
      </c>
      <c r="O557" t="str">
        <f>"460034199509150424"</f>
        <v>460034199509150424</v>
      </c>
    </row>
    <row r="558" customFormat="1" spans="1:15">
      <c r="A558">
        <v>823</v>
      </c>
      <c r="B558" t="s">
        <v>1348</v>
      </c>
      <c r="C558" t="str">
        <f>"460004199812064221"</f>
        <v>460004199812064221</v>
      </c>
      <c r="L558">
        <v>823</v>
      </c>
      <c r="M558" t="s">
        <v>1348</v>
      </c>
      <c r="O558" t="str">
        <f>"460004199812064221"</f>
        <v>460004199812064221</v>
      </c>
    </row>
    <row r="559" customFormat="1" spans="1:15">
      <c r="A559">
        <v>825</v>
      </c>
      <c r="B559" t="s">
        <v>1349</v>
      </c>
      <c r="C559" t="str">
        <f>"460006200001170010"</f>
        <v>460006200001170010</v>
      </c>
      <c r="L559">
        <v>825</v>
      </c>
      <c r="M559" t="s">
        <v>1349</v>
      </c>
      <c r="O559" t="str">
        <f>"460006200001170010"</f>
        <v>460006200001170010</v>
      </c>
    </row>
    <row r="560" customFormat="1" spans="1:15">
      <c r="A560">
        <v>826</v>
      </c>
      <c r="B560" t="s">
        <v>1350</v>
      </c>
      <c r="C560" t="str">
        <f>"460007199005077623"</f>
        <v>460007199005077623</v>
      </c>
      <c r="D560" t="str">
        <f>"248030200723"</f>
        <v>248030200723</v>
      </c>
      <c r="L560">
        <v>826</v>
      </c>
      <c r="M560" t="s">
        <v>1350</v>
      </c>
      <c r="N560" t="str">
        <f>"248030200723"</f>
        <v>248030200723</v>
      </c>
      <c r="O560" t="str">
        <f>"460007199005077623"</f>
        <v>460007199005077623</v>
      </c>
    </row>
    <row r="561" customFormat="1" spans="1:15">
      <c r="A561">
        <v>828</v>
      </c>
      <c r="B561" t="s">
        <v>1351</v>
      </c>
      <c r="C561" t="str">
        <f>"460022199401024324"</f>
        <v>460022199401024324</v>
      </c>
      <c r="D561" t="str">
        <f>"248030504216"</f>
        <v>248030504216</v>
      </c>
      <c r="L561">
        <v>828</v>
      </c>
      <c r="M561" t="s">
        <v>1351</v>
      </c>
      <c r="N561" t="str">
        <f>"248030504216"</f>
        <v>248030504216</v>
      </c>
      <c r="O561" t="str">
        <f>"460022199401024324"</f>
        <v>460022199401024324</v>
      </c>
    </row>
    <row r="562" customFormat="1" spans="1:15">
      <c r="A562">
        <v>829</v>
      </c>
      <c r="B562" t="s">
        <v>300</v>
      </c>
      <c r="C562" t="str">
        <f>"460034200208080448"</f>
        <v>460034200208080448</v>
      </c>
      <c r="D562" t="str">
        <f>"248030202526"</f>
        <v>248030202526</v>
      </c>
      <c r="L562">
        <v>829</v>
      </c>
      <c r="M562" t="s">
        <v>300</v>
      </c>
      <c r="N562" t="str">
        <f>"248030202526"</f>
        <v>248030202526</v>
      </c>
      <c r="O562" t="str">
        <f>"460034200208080448"</f>
        <v>460034200208080448</v>
      </c>
    </row>
    <row r="563" customFormat="1" spans="1:15">
      <c r="A563">
        <v>830</v>
      </c>
      <c r="B563" t="s">
        <v>1352</v>
      </c>
      <c r="C563" t="str">
        <f>"460102200111253319"</f>
        <v>460102200111253319</v>
      </c>
      <c r="L563">
        <v>830</v>
      </c>
      <c r="M563" t="s">
        <v>1352</v>
      </c>
      <c r="O563" t="str">
        <f>"460102200111253319"</f>
        <v>460102200111253319</v>
      </c>
    </row>
    <row r="564" customFormat="1" spans="1:15">
      <c r="A564">
        <v>831</v>
      </c>
      <c r="B564" t="s">
        <v>1353</v>
      </c>
      <c r="C564" t="str">
        <f>"460002199605161229"</f>
        <v>460002199605161229</v>
      </c>
      <c r="D564" t="str">
        <f>"248030102124"</f>
        <v>248030102124</v>
      </c>
      <c r="L564">
        <v>831</v>
      </c>
      <c r="M564" t="s">
        <v>1353</v>
      </c>
      <c r="N564" t="str">
        <f>"248030102124"</f>
        <v>248030102124</v>
      </c>
      <c r="O564" t="str">
        <f>"460002199605161229"</f>
        <v>460002199605161229</v>
      </c>
    </row>
    <row r="565" customFormat="1" spans="1:15">
      <c r="A565">
        <v>832</v>
      </c>
      <c r="B565" t="s">
        <v>1354</v>
      </c>
      <c r="C565" t="str">
        <f>"460007200009295340"</f>
        <v>460007200009295340</v>
      </c>
      <c r="D565" t="str">
        <f>"248030503109"</f>
        <v>248030503109</v>
      </c>
      <c r="L565">
        <v>832</v>
      </c>
      <c r="M565" t="s">
        <v>1354</v>
      </c>
      <c r="N565" t="str">
        <f>"248030503109"</f>
        <v>248030503109</v>
      </c>
      <c r="O565" t="str">
        <f>"460007200009295340"</f>
        <v>460007200009295340</v>
      </c>
    </row>
    <row r="566" customFormat="1" spans="1:15">
      <c r="A566">
        <v>833</v>
      </c>
      <c r="B566" t="s">
        <v>1355</v>
      </c>
      <c r="C566" t="str">
        <f>"460033199509284506"</f>
        <v>460033199509284506</v>
      </c>
      <c r="D566" t="str">
        <f>"248030104406"</f>
        <v>248030104406</v>
      </c>
      <c r="L566">
        <v>833</v>
      </c>
      <c r="M566" t="s">
        <v>1355</v>
      </c>
      <c r="N566" t="str">
        <f>"248030104406"</f>
        <v>248030104406</v>
      </c>
      <c r="O566" t="str">
        <f>"460033199509284506"</f>
        <v>460033199509284506</v>
      </c>
    </row>
    <row r="567" customFormat="1" spans="1:15">
      <c r="A567">
        <v>834</v>
      </c>
      <c r="B567" t="s">
        <v>1356</v>
      </c>
      <c r="C567" t="str">
        <f>"630102198603041621"</f>
        <v>630102198603041621</v>
      </c>
      <c r="D567" t="str">
        <f>"248030102713"</f>
        <v>248030102713</v>
      </c>
      <c r="L567">
        <v>834</v>
      </c>
      <c r="M567" t="s">
        <v>1356</v>
      </c>
      <c r="N567" t="str">
        <f>"248030102713"</f>
        <v>248030102713</v>
      </c>
      <c r="O567" t="str">
        <f>"630102198603041621"</f>
        <v>630102198603041621</v>
      </c>
    </row>
    <row r="568" customFormat="1" spans="1:15">
      <c r="A568">
        <v>835</v>
      </c>
      <c r="B568" t="s">
        <v>1357</v>
      </c>
      <c r="C568" t="str">
        <f>"460027199705091325"</f>
        <v>460027199705091325</v>
      </c>
      <c r="D568" t="str">
        <f>"248030503609"</f>
        <v>248030503609</v>
      </c>
      <c r="L568">
        <v>835</v>
      </c>
      <c r="M568" t="s">
        <v>1357</v>
      </c>
      <c r="N568" t="str">
        <f>"248030503609"</f>
        <v>248030503609</v>
      </c>
      <c r="O568" t="str">
        <f>"460027199705091325"</f>
        <v>460027199705091325</v>
      </c>
    </row>
    <row r="569" customFormat="1" spans="1:15">
      <c r="A569">
        <v>838</v>
      </c>
      <c r="B569" t="s">
        <v>1358</v>
      </c>
      <c r="C569" t="str">
        <f>"460002200210053624"</f>
        <v>460002200210053624</v>
      </c>
      <c r="D569" t="str">
        <f>"248030102910"</f>
        <v>248030102910</v>
      </c>
      <c r="L569">
        <v>838</v>
      </c>
      <c r="M569" t="s">
        <v>1358</v>
      </c>
      <c r="N569" t="str">
        <f>"248030102910"</f>
        <v>248030102910</v>
      </c>
      <c r="O569" t="str">
        <f>"460002200210053624"</f>
        <v>460002200210053624</v>
      </c>
    </row>
    <row r="570" customFormat="1" spans="1:15">
      <c r="A570">
        <v>839</v>
      </c>
      <c r="B570" t="s">
        <v>308</v>
      </c>
      <c r="C570" t="str">
        <f>"460004199204285223"</f>
        <v>460004199204285223</v>
      </c>
      <c r="D570" t="str">
        <f>"248030100312"</f>
        <v>248030100312</v>
      </c>
      <c r="L570">
        <v>839</v>
      </c>
      <c r="M570" t="s">
        <v>308</v>
      </c>
      <c r="N570" t="str">
        <f>"248030100312"</f>
        <v>248030100312</v>
      </c>
      <c r="O570" t="str">
        <f>"460004199204285223"</f>
        <v>460004199204285223</v>
      </c>
    </row>
    <row r="571" customFormat="1" spans="1:15">
      <c r="A571">
        <v>840</v>
      </c>
      <c r="B571" t="s">
        <v>1359</v>
      </c>
      <c r="C571" t="str">
        <f>"460003200207062622"</f>
        <v>460003200207062622</v>
      </c>
      <c r="D571" t="str">
        <f>"248030404014"</f>
        <v>248030404014</v>
      </c>
      <c r="L571">
        <v>840</v>
      </c>
      <c r="M571" t="s">
        <v>1359</v>
      </c>
      <c r="N571" t="str">
        <f>"248030404014"</f>
        <v>248030404014</v>
      </c>
      <c r="O571" t="str">
        <f>"460003200207062622"</f>
        <v>460003200207062622</v>
      </c>
    </row>
    <row r="572" customFormat="1" spans="1:15">
      <c r="A572">
        <v>841</v>
      </c>
      <c r="B572" t="s">
        <v>1360</v>
      </c>
      <c r="C572" t="str">
        <f>"469022199912252423"</f>
        <v>469022199912252423</v>
      </c>
      <c r="D572" t="str">
        <f>"248030302208"</f>
        <v>248030302208</v>
      </c>
      <c r="L572">
        <v>841</v>
      </c>
      <c r="M572" t="s">
        <v>1360</v>
      </c>
      <c r="N572" t="str">
        <f>"248030302208"</f>
        <v>248030302208</v>
      </c>
      <c r="O572" t="str">
        <f>"469022199912252423"</f>
        <v>469022199912252423</v>
      </c>
    </row>
    <row r="573" customFormat="1" spans="1:15">
      <c r="A573">
        <v>842</v>
      </c>
      <c r="B573" t="s">
        <v>1361</v>
      </c>
      <c r="C573" t="str">
        <f>"460003199910230215"</f>
        <v>460003199910230215</v>
      </c>
      <c r="D573" t="str">
        <f>"248030201126"</f>
        <v>248030201126</v>
      </c>
      <c r="L573">
        <v>842</v>
      </c>
      <c r="M573" t="s">
        <v>1361</v>
      </c>
      <c r="N573" t="str">
        <f>"248030201126"</f>
        <v>248030201126</v>
      </c>
      <c r="O573" t="str">
        <f>"460003199910230215"</f>
        <v>460003199910230215</v>
      </c>
    </row>
    <row r="574" customFormat="1" spans="1:15">
      <c r="A574">
        <v>844</v>
      </c>
      <c r="B574" t="s">
        <v>1362</v>
      </c>
      <c r="C574" t="str">
        <f>"532127199902010729"</f>
        <v>532127199902010729</v>
      </c>
      <c r="L574">
        <v>844</v>
      </c>
      <c r="M574" t="s">
        <v>1362</v>
      </c>
      <c r="O574" t="str">
        <f>"532127199902010729"</f>
        <v>532127199902010729</v>
      </c>
    </row>
    <row r="575" customFormat="1" spans="1:15">
      <c r="A575">
        <v>845</v>
      </c>
      <c r="B575" t="s">
        <v>1363</v>
      </c>
      <c r="C575" t="str">
        <f>"460027199908141716"</f>
        <v>460027199908141716</v>
      </c>
      <c r="L575">
        <v>845</v>
      </c>
      <c r="M575" t="s">
        <v>1363</v>
      </c>
      <c r="O575" t="str">
        <f>"460027199908141716"</f>
        <v>460027199908141716</v>
      </c>
    </row>
    <row r="576" customFormat="1" spans="1:15">
      <c r="A576">
        <v>846</v>
      </c>
      <c r="B576" t="s">
        <v>1364</v>
      </c>
      <c r="C576" t="str">
        <f>"232324199110110925"</f>
        <v>232324199110110925</v>
      </c>
      <c r="D576" t="str">
        <f>"248030302326"</f>
        <v>248030302326</v>
      </c>
      <c r="L576">
        <v>846</v>
      </c>
      <c r="M576" t="s">
        <v>1364</v>
      </c>
      <c r="N576" t="str">
        <f>"248030302326"</f>
        <v>248030302326</v>
      </c>
      <c r="O576" t="str">
        <f>"232324199110110925"</f>
        <v>232324199110110925</v>
      </c>
    </row>
    <row r="577" customFormat="1" spans="1:15">
      <c r="A577">
        <v>847</v>
      </c>
      <c r="B577" t="s">
        <v>1365</v>
      </c>
      <c r="C577" t="str">
        <f>"469021200011181225"</f>
        <v>469021200011181225</v>
      </c>
      <c r="D577" t="str">
        <f>"248030503919"</f>
        <v>248030503919</v>
      </c>
      <c r="L577">
        <v>847</v>
      </c>
      <c r="M577" t="s">
        <v>1365</v>
      </c>
      <c r="N577" t="str">
        <f>"248030503919"</f>
        <v>248030503919</v>
      </c>
      <c r="O577" t="str">
        <f>"469021200011181225"</f>
        <v>469021200011181225</v>
      </c>
    </row>
    <row r="578" customFormat="1" spans="1:15">
      <c r="A578">
        <v>848</v>
      </c>
      <c r="B578" t="s">
        <v>1366</v>
      </c>
      <c r="C578" t="str">
        <f>"460003198809017423"</f>
        <v>460003198809017423</v>
      </c>
      <c r="D578" t="str">
        <f>"248030200720"</f>
        <v>248030200720</v>
      </c>
      <c r="L578">
        <v>848</v>
      </c>
      <c r="M578" t="s">
        <v>1366</v>
      </c>
      <c r="N578" t="str">
        <f>"248030200720"</f>
        <v>248030200720</v>
      </c>
      <c r="O578" t="str">
        <f>"460003198809017423"</f>
        <v>460003198809017423</v>
      </c>
    </row>
    <row r="579" customFormat="1" spans="1:15">
      <c r="A579">
        <v>849</v>
      </c>
      <c r="B579" t="s">
        <v>1367</v>
      </c>
      <c r="C579" t="str">
        <f>"460005199911130024"</f>
        <v>460005199911130024</v>
      </c>
      <c r="D579" t="str">
        <f>"248030101513"</f>
        <v>248030101513</v>
      </c>
      <c r="L579">
        <v>849</v>
      </c>
      <c r="M579" t="s">
        <v>1367</v>
      </c>
      <c r="N579" t="str">
        <f>"248030101513"</f>
        <v>248030101513</v>
      </c>
      <c r="O579" t="str">
        <f>"460005199911130024"</f>
        <v>460005199911130024</v>
      </c>
    </row>
    <row r="580" customFormat="1" spans="1:15">
      <c r="A580">
        <v>851</v>
      </c>
      <c r="B580" t="s">
        <v>1368</v>
      </c>
      <c r="C580" t="str">
        <f>"469021200208033023"</f>
        <v>469021200208033023</v>
      </c>
      <c r="D580" t="str">
        <f>"248030400321"</f>
        <v>248030400321</v>
      </c>
      <c r="L580">
        <v>851</v>
      </c>
      <c r="M580" t="s">
        <v>1368</v>
      </c>
      <c r="N580" t="str">
        <f>"248030400321"</f>
        <v>248030400321</v>
      </c>
      <c r="O580" t="str">
        <f>"469021200208033023"</f>
        <v>469021200208033023</v>
      </c>
    </row>
    <row r="581" customFormat="1" spans="1:15">
      <c r="A581">
        <v>853</v>
      </c>
      <c r="B581" t="s">
        <v>1369</v>
      </c>
      <c r="C581" t="str">
        <f>"460105200201147543"</f>
        <v>460105200201147543</v>
      </c>
      <c r="D581" t="str">
        <f>"248030103105"</f>
        <v>248030103105</v>
      </c>
      <c r="L581">
        <v>853</v>
      </c>
      <c r="M581" t="s">
        <v>1369</v>
      </c>
      <c r="N581" t="str">
        <f>"248030103105"</f>
        <v>248030103105</v>
      </c>
      <c r="O581" t="str">
        <f>"460105200201147543"</f>
        <v>460105200201147543</v>
      </c>
    </row>
    <row r="582" customFormat="1" spans="1:15">
      <c r="A582">
        <v>854</v>
      </c>
      <c r="B582" t="s">
        <v>1370</v>
      </c>
      <c r="C582" t="str">
        <f>"150103200001020622"</f>
        <v>150103200001020622</v>
      </c>
      <c r="L582">
        <v>854</v>
      </c>
      <c r="M582" t="s">
        <v>1370</v>
      </c>
      <c r="O582" t="str">
        <f>"150103200001020622"</f>
        <v>150103200001020622</v>
      </c>
    </row>
    <row r="583" customFormat="1" spans="1:15">
      <c r="A583">
        <v>855</v>
      </c>
      <c r="B583" t="s">
        <v>1371</v>
      </c>
      <c r="C583" t="str">
        <f>"460007200109293860"</f>
        <v>460007200109293860</v>
      </c>
      <c r="D583" t="str">
        <f>"248030200806"</f>
        <v>248030200806</v>
      </c>
      <c r="L583">
        <v>855</v>
      </c>
      <c r="M583" t="s">
        <v>1371</v>
      </c>
      <c r="N583" t="str">
        <f>"248030200806"</f>
        <v>248030200806</v>
      </c>
      <c r="O583" t="str">
        <f>"460007200109293860"</f>
        <v>460007200109293860</v>
      </c>
    </row>
    <row r="584" customFormat="1" spans="1:15">
      <c r="A584">
        <v>856</v>
      </c>
      <c r="B584" t="s">
        <v>1372</v>
      </c>
      <c r="C584" t="str">
        <f>"460004199302090622"</f>
        <v>460004199302090622</v>
      </c>
      <c r="D584" t="str">
        <f>"248030402110"</f>
        <v>248030402110</v>
      </c>
      <c r="L584">
        <v>856</v>
      </c>
      <c r="M584" t="s">
        <v>1372</v>
      </c>
      <c r="N584" t="str">
        <f>"248030402110"</f>
        <v>248030402110</v>
      </c>
      <c r="O584" t="str">
        <f>"460004199302090622"</f>
        <v>460004199302090622</v>
      </c>
    </row>
    <row r="585" customFormat="1" spans="1:15">
      <c r="A585">
        <v>857</v>
      </c>
      <c r="B585" t="s">
        <v>1373</v>
      </c>
      <c r="C585" t="str">
        <f>"460028199712111220"</f>
        <v>460028199712111220</v>
      </c>
      <c r="D585" t="str">
        <f>"248030200923"</f>
        <v>248030200923</v>
      </c>
      <c r="L585">
        <v>857</v>
      </c>
      <c r="M585" t="s">
        <v>1373</v>
      </c>
      <c r="N585" t="str">
        <f>"248030200923"</f>
        <v>248030200923</v>
      </c>
      <c r="O585" t="str">
        <f>"460028199712111220"</f>
        <v>460028199712111220</v>
      </c>
    </row>
    <row r="586" customFormat="1" spans="1:15">
      <c r="A586">
        <v>858</v>
      </c>
      <c r="B586" t="s">
        <v>1374</v>
      </c>
      <c r="C586" t="str">
        <f>"460007199705220021"</f>
        <v>460007199705220021</v>
      </c>
      <c r="D586" t="str">
        <f>"248030104813"</f>
        <v>248030104813</v>
      </c>
      <c r="L586">
        <v>858</v>
      </c>
      <c r="M586" t="s">
        <v>1374</v>
      </c>
      <c r="N586" t="str">
        <f>"248030104813"</f>
        <v>248030104813</v>
      </c>
      <c r="O586" t="str">
        <f>"460007199705220021"</f>
        <v>460007199705220021</v>
      </c>
    </row>
    <row r="587" customFormat="1" spans="1:15">
      <c r="A587">
        <v>859</v>
      </c>
      <c r="B587" t="s">
        <v>1375</v>
      </c>
      <c r="C587" t="str">
        <f>"130981200210280649"</f>
        <v>130981200210280649</v>
      </c>
      <c r="D587" t="str">
        <f>"248030203222"</f>
        <v>248030203222</v>
      </c>
      <c r="L587">
        <v>859</v>
      </c>
      <c r="M587" t="s">
        <v>1375</v>
      </c>
      <c r="N587" t="str">
        <f>"248030203222"</f>
        <v>248030203222</v>
      </c>
      <c r="O587" t="str">
        <f>"130981200210280649"</f>
        <v>130981200210280649</v>
      </c>
    </row>
    <row r="588" customFormat="1" spans="1:15">
      <c r="A588">
        <v>860</v>
      </c>
      <c r="B588" t="s">
        <v>1376</v>
      </c>
      <c r="C588" t="str">
        <f>"46003319950826452X"</f>
        <v>46003319950826452X</v>
      </c>
      <c r="D588" t="str">
        <f>"248030404007"</f>
        <v>248030404007</v>
      </c>
      <c r="L588">
        <v>860</v>
      </c>
      <c r="M588" t="s">
        <v>1376</v>
      </c>
      <c r="N588" t="str">
        <f>"248030404007"</f>
        <v>248030404007</v>
      </c>
      <c r="O588" t="str">
        <f>"46003319950826452X"</f>
        <v>46003319950826452X</v>
      </c>
    </row>
    <row r="589" customFormat="1" spans="1:15">
      <c r="A589">
        <v>861</v>
      </c>
      <c r="B589" t="s">
        <v>1256</v>
      </c>
      <c r="C589" t="str">
        <f>"510503199611234568"</f>
        <v>510503199611234568</v>
      </c>
      <c r="D589" t="str">
        <f>"248030502201"</f>
        <v>248030502201</v>
      </c>
      <c r="L589">
        <v>861</v>
      </c>
      <c r="M589" t="s">
        <v>1256</v>
      </c>
      <c r="N589" t="str">
        <f>"248030502201"</f>
        <v>248030502201</v>
      </c>
      <c r="O589" t="str">
        <f>"510503199611234568"</f>
        <v>510503199611234568</v>
      </c>
    </row>
    <row r="590" customFormat="1" spans="1:15">
      <c r="A590">
        <v>862</v>
      </c>
      <c r="B590" t="s">
        <v>1377</v>
      </c>
      <c r="C590" t="str">
        <f>"460003200012143027"</f>
        <v>460003200012143027</v>
      </c>
      <c r="D590" t="str">
        <f>"248030401503"</f>
        <v>248030401503</v>
      </c>
      <c r="L590">
        <v>862</v>
      </c>
      <c r="M590" t="s">
        <v>1377</v>
      </c>
      <c r="N590" t="str">
        <f>"248030401503"</f>
        <v>248030401503</v>
      </c>
      <c r="O590" t="str">
        <f>"460003200012143027"</f>
        <v>460003200012143027</v>
      </c>
    </row>
    <row r="591" customFormat="1" spans="1:15">
      <c r="A591">
        <v>863</v>
      </c>
      <c r="B591" t="s">
        <v>1378</v>
      </c>
      <c r="C591" t="str">
        <f>"460028199405131213"</f>
        <v>460028199405131213</v>
      </c>
      <c r="D591" t="str">
        <f>"248030402520"</f>
        <v>248030402520</v>
      </c>
      <c r="L591">
        <v>863</v>
      </c>
      <c r="M591" t="s">
        <v>1378</v>
      </c>
      <c r="N591" t="str">
        <f>"248030402520"</f>
        <v>248030402520</v>
      </c>
      <c r="O591" t="str">
        <f>"460028199405131213"</f>
        <v>460028199405131213</v>
      </c>
    </row>
    <row r="592" customFormat="1" spans="1:15">
      <c r="A592">
        <v>865</v>
      </c>
      <c r="B592" t="s">
        <v>1379</v>
      </c>
      <c r="C592" t="str">
        <f>"469024200211242028"</f>
        <v>469024200211242028</v>
      </c>
      <c r="D592" t="str">
        <f>"248030200821"</f>
        <v>248030200821</v>
      </c>
      <c r="L592">
        <v>865</v>
      </c>
      <c r="M592" t="s">
        <v>1379</v>
      </c>
      <c r="N592" t="str">
        <f>"248030200821"</f>
        <v>248030200821</v>
      </c>
      <c r="O592" t="str">
        <f>"469024200211242028"</f>
        <v>469024200211242028</v>
      </c>
    </row>
    <row r="593" customFormat="1" spans="1:15">
      <c r="A593">
        <v>866</v>
      </c>
      <c r="B593" t="s">
        <v>1380</v>
      </c>
      <c r="C593" t="str">
        <f>"460103200003091822"</f>
        <v>460103200003091822</v>
      </c>
      <c r="D593" t="str">
        <f>"248030504003"</f>
        <v>248030504003</v>
      </c>
      <c r="L593">
        <v>866</v>
      </c>
      <c r="M593" t="s">
        <v>1380</v>
      </c>
      <c r="N593" t="str">
        <f>"248030504003"</f>
        <v>248030504003</v>
      </c>
      <c r="O593" t="str">
        <f>"460103200003091822"</f>
        <v>460103200003091822</v>
      </c>
    </row>
    <row r="594" customFormat="1" spans="1:15">
      <c r="A594">
        <v>867</v>
      </c>
      <c r="B594" t="s">
        <v>1381</v>
      </c>
      <c r="C594" t="str">
        <f>"460003200008132683"</f>
        <v>460003200008132683</v>
      </c>
      <c r="D594" t="str">
        <f>"248030501219"</f>
        <v>248030501219</v>
      </c>
      <c r="L594">
        <v>867</v>
      </c>
      <c r="M594" t="s">
        <v>1381</v>
      </c>
      <c r="N594" t="str">
        <f>"248030501219"</f>
        <v>248030501219</v>
      </c>
      <c r="O594" t="str">
        <f>"460003200008132683"</f>
        <v>460003200008132683</v>
      </c>
    </row>
    <row r="595" customFormat="1" spans="1:15">
      <c r="A595">
        <v>868</v>
      </c>
      <c r="B595" t="s">
        <v>1382</v>
      </c>
      <c r="C595" t="str">
        <f>"460003200105277614"</f>
        <v>460003200105277614</v>
      </c>
      <c r="D595" t="str">
        <f>"248030301119"</f>
        <v>248030301119</v>
      </c>
      <c r="L595">
        <v>868</v>
      </c>
      <c r="M595" t="s">
        <v>1382</v>
      </c>
      <c r="N595" t="str">
        <f>"248030301119"</f>
        <v>248030301119</v>
      </c>
      <c r="O595" t="str">
        <f>"460003200105277614"</f>
        <v>460003200105277614</v>
      </c>
    </row>
    <row r="596" customFormat="1" spans="1:15">
      <c r="A596">
        <v>870</v>
      </c>
      <c r="B596" t="s">
        <v>585</v>
      </c>
      <c r="C596" t="str">
        <f>"511528199609034215"</f>
        <v>511528199609034215</v>
      </c>
      <c r="D596" t="str">
        <f>"248030201123"</f>
        <v>248030201123</v>
      </c>
      <c r="L596">
        <v>870</v>
      </c>
      <c r="M596" t="s">
        <v>585</v>
      </c>
      <c r="N596" t="str">
        <f>"248030201123"</f>
        <v>248030201123</v>
      </c>
      <c r="O596" t="str">
        <f>"511528199609034215"</f>
        <v>511528199609034215</v>
      </c>
    </row>
    <row r="597" customFormat="1" spans="1:15">
      <c r="A597">
        <v>871</v>
      </c>
      <c r="B597" t="s">
        <v>1383</v>
      </c>
      <c r="C597" t="str">
        <f>"460006199805140022"</f>
        <v>460006199805140022</v>
      </c>
      <c r="L597">
        <v>871</v>
      </c>
      <c r="M597" t="s">
        <v>1383</v>
      </c>
      <c r="O597" t="str">
        <f>"460006199805140022"</f>
        <v>460006199805140022</v>
      </c>
    </row>
    <row r="598" customFormat="1" spans="1:15">
      <c r="A598">
        <v>872</v>
      </c>
      <c r="B598" t="s">
        <v>1384</v>
      </c>
      <c r="C598" t="str">
        <f>"46002719971025378X"</f>
        <v>46002719971025378X</v>
      </c>
      <c r="D598" t="str">
        <f>"248030104621"</f>
        <v>248030104621</v>
      </c>
      <c r="L598">
        <v>872</v>
      </c>
      <c r="M598" t="s">
        <v>1384</v>
      </c>
      <c r="N598" t="str">
        <f>"248030104621"</f>
        <v>248030104621</v>
      </c>
      <c r="O598" t="str">
        <f>"46002719971025378X"</f>
        <v>46002719971025378X</v>
      </c>
    </row>
    <row r="599" customFormat="1" spans="1:15">
      <c r="A599">
        <v>873</v>
      </c>
      <c r="B599" t="s">
        <v>1385</v>
      </c>
      <c r="C599" t="str">
        <f>"460003199511266667"</f>
        <v>460003199511266667</v>
      </c>
      <c r="D599" t="str">
        <f>"248030300104"</f>
        <v>248030300104</v>
      </c>
      <c r="L599">
        <v>873</v>
      </c>
      <c r="M599" t="s">
        <v>1385</v>
      </c>
      <c r="N599" t="str">
        <f>"248030300104"</f>
        <v>248030300104</v>
      </c>
      <c r="O599" t="str">
        <f>"460003199511266667"</f>
        <v>460003199511266667</v>
      </c>
    </row>
    <row r="600" customFormat="1" spans="1:15">
      <c r="A600">
        <v>874</v>
      </c>
      <c r="B600" t="s">
        <v>536</v>
      </c>
      <c r="C600" t="str">
        <f>"469007200012247225"</f>
        <v>469007200012247225</v>
      </c>
      <c r="D600" t="str">
        <f>"248030403330"</f>
        <v>248030403330</v>
      </c>
      <c r="L600">
        <v>874</v>
      </c>
      <c r="M600" t="s">
        <v>536</v>
      </c>
      <c r="N600" t="str">
        <f>"248030403330"</f>
        <v>248030403330</v>
      </c>
      <c r="O600" t="str">
        <f>"469007200012247225"</f>
        <v>469007200012247225</v>
      </c>
    </row>
    <row r="601" customFormat="1" spans="1:15">
      <c r="A601">
        <v>876</v>
      </c>
      <c r="B601" t="s">
        <v>1386</v>
      </c>
      <c r="C601" t="str">
        <f>"460004199706120015"</f>
        <v>460004199706120015</v>
      </c>
      <c r="D601" t="str">
        <f>"248030400828"</f>
        <v>248030400828</v>
      </c>
      <c r="L601">
        <v>876</v>
      </c>
      <c r="M601" t="s">
        <v>1386</v>
      </c>
      <c r="N601" t="str">
        <f>"248030400828"</f>
        <v>248030400828</v>
      </c>
      <c r="O601" t="str">
        <f>"460004199706120015"</f>
        <v>460004199706120015</v>
      </c>
    </row>
    <row r="602" customFormat="1" spans="1:15">
      <c r="A602">
        <v>877</v>
      </c>
      <c r="B602" t="s">
        <v>1387</v>
      </c>
      <c r="C602" t="str">
        <f>"440785199909274615"</f>
        <v>440785199909274615</v>
      </c>
      <c r="L602">
        <v>877</v>
      </c>
      <c r="M602" t="s">
        <v>1387</v>
      </c>
      <c r="O602" t="str">
        <f>"440785199909274615"</f>
        <v>440785199909274615</v>
      </c>
    </row>
    <row r="603" customFormat="1" spans="1:15">
      <c r="A603">
        <v>878</v>
      </c>
      <c r="B603" t="s">
        <v>1388</v>
      </c>
      <c r="C603" t="str">
        <f>"440825200303061986"</f>
        <v>440825200303061986</v>
      </c>
      <c r="D603" t="str">
        <f>"248030103803"</f>
        <v>248030103803</v>
      </c>
      <c r="L603">
        <v>878</v>
      </c>
      <c r="M603" t="s">
        <v>1388</v>
      </c>
      <c r="N603" t="str">
        <f>"248030103803"</f>
        <v>248030103803</v>
      </c>
      <c r="O603" t="str">
        <f>"440825200303061986"</f>
        <v>440825200303061986</v>
      </c>
    </row>
    <row r="604" customFormat="1" spans="1:15">
      <c r="A604">
        <v>879</v>
      </c>
      <c r="B604" t="s">
        <v>1389</v>
      </c>
      <c r="C604" t="str">
        <f>"460027199608073723"</f>
        <v>460027199608073723</v>
      </c>
      <c r="D604" t="str">
        <f>"248030400101"</f>
        <v>248030400101</v>
      </c>
      <c r="L604">
        <v>879</v>
      </c>
      <c r="M604" t="s">
        <v>1389</v>
      </c>
      <c r="N604" t="str">
        <f>"248030400101"</f>
        <v>248030400101</v>
      </c>
      <c r="O604" t="str">
        <f>"460027199608073723"</f>
        <v>460027199608073723</v>
      </c>
    </row>
    <row r="605" customFormat="1" spans="1:15">
      <c r="A605">
        <v>880</v>
      </c>
      <c r="B605" t="s">
        <v>1390</v>
      </c>
      <c r="C605" t="str">
        <f>"230603199510262517"</f>
        <v>230603199510262517</v>
      </c>
      <c r="L605">
        <v>880</v>
      </c>
      <c r="M605" t="s">
        <v>1390</v>
      </c>
      <c r="O605" t="str">
        <f>"230603199510262517"</f>
        <v>230603199510262517</v>
      </c>
    </row>
    <row r="606" customFormat="1" spans="1:15">
      <c r="A606">
        <v>881</v>
      </c>
      <c r="B606" t="s">
        <v>1391</v>
      </c>
      <c r="C606" t="str">
        <f>"460006200005206527"</f>
        <v>460006200005206527</v>
      </c>
      <c r="D606" t="str">
        <f>"248030500605"</f>
        <v>248030500605</v>
      </c>
      <c r="L606">
        <v>881</v>
      </c>
      <c r="M606" t="s">
        <v>1391</v>
      </c>
      <c r="N606" t="str">
        <f>"248030500605"</f>
        <v>248030500605</v>
      </c>
      <c r="O606" t="str">
        <f>"460006200005206527"</f>
        <v>460006200005206527</v>
      </c>
    </row>
    <row r="607" customFormat="1" spans="1:15">
      <c r="A607">
        <v>882</v>
      </c>
      <c r="B607" t="s">
        <v>1392</v>
      </c>
      <c r="C607" t="str">
        <f>"46002719940107442X"</f>
        <v>46002719940107442X</v>
      </c>
      <c r="L607">
        <v>882</v>
      </c>
      <c r="M607" t="s">
        <v>1392</v>
      </c>
      <c r="O607" t="str">
        <f>"46002719940107442X"</f>
        <v>46002719940107442X</v>
      </c>
    </row>
    <row r="608" customFormat="1" spans="1:15">
      <c r="A608">
        <v>883</v>
      </c>
      <c r="B608" t="s">
        <v>1393</v>
      </c>
      <c r="C608" t="str">
        <f>"460028199604216068"</f>
        <v>460028199604216068</v>
      </c>
      <c r="L608">
        <v>883</v>
      </c>
      <c r="M608" t="s">
        <v>1393</v>
      </c>
      <c r="O608" t="str">
        <f>"460028199604216068"</f>
        <v>460028199604216068</v>
      </c>
    </row>
    <row r="609" customFormat="1" spans="1:15">
      <c r="A609">
        <v>884</v>
      </c>
      <c r="B609" t="s">
        <v>1394</v>
      </c>
      <c r="C609" t="str">
        <f>"460007200001057233"</f>
        <v>460007200001057233</v>
      </c>
      <c r="D609" t="str">
        <f>"248030201420"</f>
        <v>248030201420</v>
      </c>
      <c r="L609">
        <v>884</v>
      </c>
      <c r="M609" t="s">
        <v>1394</v>
      </c>
      <c r="N609" t="str">
        <f>"248030201420"</f>
        <v>248030201420</v>
      </c>
      <c r="O609" t="str">
        <f>"460007200001057233"</f>
        <v>460007200001057233</v>
      </c>
    </row>
    <row r="610" customFormat="1" spans="1:15">
      <c r="A610">
        <v>885</v>
      </c>
      <c r="B610" t="s">
        <v>1395</v>
      </c>
      <c r="C610" t="str">
        <f>"46000219980917542X"</f>
        <v>46000219980917542X</v>
      </c>
      <c r="D610" t="str">
        <f>"248030502028"</f>
        <v>248030502028</v>
      </c>
      <c r="L610">
        <v>885</v>
      </c>
      <c r="M610" t="s">
        <v>1395</v>
      </c>
      <c r="N610" t="str">
        <f>"248030502028"</f>
        <v>248030502028</v>
      </c>
      <c r="O610" t="str">
        <f>"46000219980917542X"</f>
        <v>46000219980917542X</v>
      </c>
    </row>
    <row r="611" customFormat="1" spans="1:15">
      <c r="A611">
        <v>887</v>
      </c>
      <c r="B611" t="s">
        <v>1396</v>
      </c>
      <c r="C611" t="str">
        <f>"460002199608052212"</f>
        <v>460002199608052212</v>
      </c>
      <c r="L611">
        <v>887</v>
      </c>
      <c r="M611" t="s">
        <v>1396</v>
      </c>
      <c r="O611" t="str">
        <f>"460002199608052212"</f>
        <v>460002199608052212</v>
      </c>
    </row>
    <row r="612" customFormat="1" spans="1:15">
      <c r="A612">
        <v>888</v>
      </c>
      <c r="B612" t="s">
        <v>1397</v>
      </c>
      <c r="C612" t="str">
        <f>"460200199911214462"</f>
        <v>460200199911214462</v>
      </c>
      <c r="D612" t="str">
        <f>"248030500418"</f>
        <v>248030500418</v>
      </c>
      <c r="L612">
        <v>888</v>
      </c>
      <c r="M612" t="s">
        <v>1397</v>
      </c>
      <c r="N612" t="str">
        <f>"248030500418"</f>
        <v>248030500418</v>
      </c>
      <c r="O612" t="str">
        <f>"460200199911214462"</f>
        <v>460200199911214462</v>
      </c>
    </row>
    <row r="613" customFormat="1" spans="1:15">
      <c r="A613">
        <v>892</v>
      </c>
      <c r="B613" t="s">
        <v>1398</v>
      </c>
      <c r="C613" t="str">
        <f>"140581199707233252"</f>
        <v>140581199707233252</v>
      </c>
      <c r="L613">
        <v>892</v>
      </c>
      <c r="M613" t="s">
        <v>1398</v>
      </c>
      <c r="O613" t="str">
        <f>"140581199707233252"</f>
        <v>140581199707233252</v>
      </c>
    </row>
    <row r="614" customFormat="1" spans="1:15">
      <c r="A614">
        <v>893</v>
      </c>
      <c r="B614" t="s">
        <v>1399</v>
      </c>
      <c r="C614" t="str">
        <f>"341282199611010407"</f>
        <v>341282199611010407</v>
      </c>
      <c r="D614" t="str">
        <f>"248030402726"</f>
        <v>248030402726</v>
      </c>
      <c r="L614">
        <v>893</v>
      </c>
      <c r="M614" t="s">
        <v>1399</v>
      </c>
      <c r="N614" t="str">
        <f>"248030402726"</f>
        <v>248030402726</v>
      </c>
      <c r="O614" t="str">
        <f>"341282199611010407"</f>
        <v>341282199611010407</v>
      </c>
    </row>
    <row r="615" customFormat="1" spans="1:15">
      <c r="A615">
        <v>894</v>
      </c>
      <c r="B615" t="s">
        <v>1400</v>
      </c>
      <c r="C615" t="str">
        <f>"460033198808214474"</f>
        <v>460033198808214474</v>
      </c>
      <c r="D615" t="str">
        <f>"248030404019"</f>
        <v>248030404019</v>
      </c>
      <c r="L615">
        <v>894</v>
      </c>
      <c r="M615" t="s">
        <v>1400</v>
      </c>
      <c r="N615" t="str">
        <f>"248030404019"</f>
        <v>248030404019</v>
      </c>
      <c r="O615" t="str">
        <f>"460033198808214474"</f>
        <v>460033198808214474</v>
      </c>
    </row>
    <row r="616" customFormat="1" spans="1:15">
      <c r="A616">
        <v>895</v>
      </c>
      <c r="B616" t="s">
        <v>1401</v>
      </c>
      <c r="C616" t="str">
        <f>"460003199605225823"</f>
        <v>460003199605225823</v>
      </c>
      <c r="L616">
        <v>895</v>
      </c>
      <c r="M616" t="s">
        <v>1401</v>
      </c>
      <c r="O616" t="str">
        <f>"460003199605225823"</f>
        <v>460003199605225823</v>
      </c>
    </row>
    <row r="617" customFormat="1" spans="1:15">
      <c r="A617">
        <v>896</v>
      </c>
      <c r="B617" t="s">
        <v>1402</v>
      </c>
      <c r="C617" t="str">
        <f>"460200199803065711"</f>
        <v>460200199803065711</v>
      </c>
      <c r="D617" t="str">
        <f>"248030201311"</f>
        <v>248030201311</v>
      </c>
      <c r="L617">
        <v>896</v>
      </c>
      <c r="M617" t="s">
        <v>1402</v>
      </c>
      <c r="N617" t="str">
        <f>"248030201311"</f>
        <v>248030201311</v>
      </c>
      <c r="O617" t="str">
        <f>"460200199803065711"</f>
        <v>460200199803065711</v>
      </c>
    </row>
    <row r="618" customFormat="1" spans="1:15">
      <c r="A618">
        <v>897</v>
      </c>
      <c r="B618" t="s">
        <v>1403</v>
      </c>
      <c r="C618" t="str">
        <f>"370481198711154656"</f>
        <v>370481198711154656</v>
      </c>
      <c r="D618" t="str">
        <f>"248030202024"</f>
        <v>248030202024</v>
      </c>
      <c r="L618">
        <v>897</v>
      </c>
      <c r="M618" t="s">
        <v>1403</v>
      </c>
      <c r="N618" t="str">
        <f>"248030202024"</f>
        <v>248030202024</v>
      </c>
      <c r="O618" t="str">
        <f>"370481198711154656"</f>
        <v>370481198711154656</v>
      </c>
    </row>
    <row r="619" customFormat="1" spans="1:15">
      <c r="A619">
        <v>898</v>
      </c>
      <c r="B619" t="s">
        <v>1404</v>
      </c>
      <c r="C619" t="str">
        <f>"460102199908231226"</f>
        <v>460102199908231226</v>
      </c>
      <c r="D619" t="str">
        <f>"248030200125"</f>
        <v>248030200125</v>
      </c>
      <c r="L619">
        <v>898</v>
      </c>
      <c r="M619" t="s">
        <v>1404</v>
      </c>
      <c r="N619" t="str">
        <f>"248030200125"</f>
        <v>248030200125</v>
      </c>
      <c r="O619" t="str">
        <f>"460102199908231226"</f>
        <v>460102199908231226</v>
      </c>
    </row>
    <row r="620" customFormat="1" spans="1:15">
      <c r="A620">
        <v>901</v>
      </c>
      <c r="B620" t="s">
        <v>1405</v>
      </c>
      <c r="C620" t="str">
        <f>"46002219960412072X"</f>
        <v>46002219960412072X</v>
      </c>
      <c r="D620" t="str">
        <f>"248030501512"</f>
        <v>248030501512</v>
      </c>
      <c r="L620">
        <v>901</v>
      </c>
      <c r="M620" t="s">
        <v>1405</v>
      </c>
      <c r="N620" t="str">
        <f>"248030501512"</f>
        <v>248030501512</v>
      </c>
      <c r="O620" t="str">
        <f>"46002219960412072X"</f>
        <v>46002219960412072X</v>
      </c>
    </row>
    <row r="621" customFormat="1" spans="1:15">
      <c r="A621">
        <v>903</v>
      </c>
      <c r="B621" t="s">
        <v>1406</v>
      </c>
      <c r="C621" t="str">
        <f>"460004199804150015"</f>
        <v>460004199804150015</v>
      </c>
      <c r="D621" t="str">
        <f>"248030104507"</f>
        <v>248030104507</v>
      </c>
      <c r="L621">
        <v>903</v>
      </c>
      <c r="M621" t="s">
        <v>1406</v>
      </c>
      <c r="N621" t="str">
        <f>"248030104507"</f>
        <v>248030104507</v>
      </c>
      <c r="O621" t="str">
        <f>"460004199804150015"</f>
        <v>460004199804150015</v>
      </c>
    </row>
    <row r="622" customFormat="1" spans="1:15">
      <c r="A622">
        <v>904</v>
      </c>
      <c r="B622" t="s">
        <v>1407</v>
      </c>
      <c r="C622" t="str">
        <f>"460006199812030024"</f>
        <v>460006199812030024</v>
      </c>
      <c r="D622" t="str">
        <f>"248030302416"</f>
        <v>248030302416</v>
      </c>
      <c r="L622">
        <v>904</v>
      </c>
      <c r="M622" t="s">
        <v>1407</v>
      </c>
      <c r="N622" t="str">
        <f>"248030302416"</f>
        <v>248030302416</v>
      </c>
      <c r="O622" t="str">
        <f>"460006199812030024"</f>
        <v>460006199812030024</v>
      </c>
    </row>
    <row r="623" customFormat="1" spans="1:15">
      <c r="A623">
        <v>906</v>
      </c>
      <c r="B623" t="s">
        <v>1408</v>
      </c>
      <c r="C623" t="str">
        <f>"46000319990521582X"</f>
        <v>46000319990521582X</v>
      </c>
      <c r="D623" t="str">
        <f>"248030202019"</f>
        <v>248030202019</v>
      </c>
      <c r="L623">
        <v>906</v>
      </c>
      <c r="M623" t="s">
        <v>1408</v>
      </c>
      <c r="N623" t="str">
        <f>"248030202019"</f>
        <v>248030202019</v>
      </c>
      <c r="O623" t="str">
        <f>"46000319990521582X"</f>
        <v>46000319990521582X</v>
      </c>
    </row>
    <row r="624" customFormat="1" spans="1:15">
      <c r="A624">
        <v>907</v>
      </c>
      <c r="B624" t="s">
        <v>1409</v>
      </c>
      <c r="C624" t="str">
        <f>"460027200008011321"</f>
        <v>460027200008011321</v>
      </c>
      <c r="D624" t="str">
        <f>"248030104204"</f>
        <v>248030104204</v>
      </c>
      <c r="L624">
        <v>907</v>
      </c>
      <c r="M624" t="s">
        <v>1409</v>
      </c>
      <c r="N624" t="str">
        <f>"248030104204"</f>
        <v>248030104204</v>
      </c>
      <c r="O624" t="str">
        <f>"460027200008011321"</f>
        <v>460027200008011321</v>
      </c>
    </row>
    <row r="625" customFormat="1" spans="1:15">
      <c r="A625">
        <v>909</v>
      </c>
      <c r="B625" t="s">
        <v>1410</v>
      </c>
      <c r="C625" t="str">
        <f>"460033199510310046"</f>
        <v>460033199510310046</v>
      </c>
      <c r="D625" t="str">
        <f>"248030502119"</f>
        <v>248030502119</v>
      </c>
      <c r="L625">
        <v>909</v>
      </c>
      <c r="M625" t="s">
        <v>1410</v>
      </c>
      <c r="N625" t="str">
        <f>"248030502119"</f>
        <v>248030502119</v>
      </c>
      <c r="O625" t="str">
        <f>"460033199510310046"</f>
        <v>460033199510310046</v>
      </c>
    </row>
    <row r="626" customFormat="1" spans="1:15">
      <c r="A626">
        <v>910</v>
      </c>
      <c r="B626" t="s">
        <v>1411</v>
      </c>
      <c r="C626" t="str">
        <f>"460027200207087927"</f>
        <v>460027200207087927</v>
      </c>
      <c r="D626" t="str">
        <f>"248030504011"</f>
        <v>248030504011</v>
      </c>
      <c r="L626">
        <v>910</v>
      </c>
      <c r="M626" t="s">
        <v>1411</v>
      </c>
      <c r="N626" t="str">
        <f>"248030504011"</f>
        <v>248030504011</v>
      </c>
      <c r="O626" t="str">
        <f>"460027200207087927"</f>
        <v>460027200207087927</v>
      </c>
    </row>
    <row r="627" customFormat="1" spans="1:15">
      <c r="A627">
        <v>912</v>
      </c>
      <c r="B627" t="s">
        <v>1412</v>
      </c>
      <c r="C627" t="str">
        <f>"460103199508090926"</f>
        <v>460103199508090926</v>
      </c>
      <c r="D627" t="str">
        <f>"248030104122"</f>
        <v>248030104122</v>
      </c>
      <c r="L627">
        <v>912</v>
      </c>
      <c r="M627" t="s">
        <v>1412</v>
      </c>
      <c r="N627" t="str">
        <f>"248030104122"</f>
        <v>248030104122</v>
      </c>
      <c r="O627" t="str">
        <f>"460103199508090926"</f>
        <v>460103199508090926</v>
      </c>
    </row>
    <row r="628" customFormat="1" spans="1:15">
      <c r="A628">
        <v>913</v>
      </c>
      <c r="B628" t="s">
        <v>359</v>
      </c>
      <c r="C628" t="str">
        <f>"460102199511100922"</f>
        <v>460102199511100922</v>
      </c>
      <c r="D628" t="str">
        <f>"248030403211"</f>
        <v>248030403211</v>
      </c>
      <c r="L628">
        <v>913</v>
      </c>
      <c r="M628" t="s">
        <v>359</v>
      </c>
      <c r="N628" t="str">
        <f>"248030403211"</f>
        <v>248030403211</v>
      </c>
      <c r="O628" t="str">
        <f>"460102199511100922"</f>
        <v>460102199511100922</v>
      </c>
    </row>
    <row r="629" customFormat="1" spans="1:15">
      <c r="A629">
        <v>914</v>
      </c>
      <c r="B629" t="s">
        <v>1413</v>
      </c>
      <c r="C629" t="str">
        <f>"231083200110265028"</f>
        <v>231083200110265028</v>
      </c>
      <c r="D629" t="str">
        <f>"248030302413"</f>
        <v>248030302413</v>
      </c>
      <c r="L629">
        <v>914</v>
      </c>
      <c r="M629" t="s">
        <v>1413</v>
      </c>
      <c r="N629" t="str">
        <f>"248030302413"</f>
        <v>248030302413</v>
      </c>
      <c r="O629" t="str">
        <f>"231083200110265028"</f>
        <v>231083200110265028</v>
      </c>
    </row>
    <row r="630" customFormat="1" spans="1:15">
      <c r="A630">
        <v>917</v>
      </c>
      <c r="B630" t="s">
        <v>1414</v>
      </c>
      <c r="C630" t="str">
        <f>"460004200101030426"</f>
        <v>460004200101030426</v>
      </c>
      <c r="D630" t="str">
        <f>"248030500828"</f>
        <v>248030500828</v>
      </c>
      <c r="L630">
        <v>917</v>
      </c>
      <c r="M630" t="s">
        <v>1414</v>
      </c>
      <c r="N630" t="str">
        <f>"248030500828"</f>
        <v>248030500828</v>
      </c>
      <c r="O630" t="str">
        <f>"460004200101030426"</f>
        <v>460004200101030426</v>
      </c>
    </row>
    <row r="631" customFormat="1" spans="1:15">
      <c r="A631">
        <v>918</v>
      </c>
      <c r="B631" t="s">
        <v>449</v>
      </c>
      <c r="C631" t="str">
        <f>"431124200009198249"</f>
        <v>431124200009198249</v>
      </c>
      <c r="D631" t="str">
        <f>"248030400109"</f>
        <v>248030400109</v>
      </c>
      <c r="L631">
        <v>918</v>
      </c>
      <c r="M631" t="s">
        <v>449</v>
      </c>
      <c r="N631" t="str">
        <f>"248030400109"</f>
        <v>248030400109</v>
      </c>
      <c r="O631" t="str">
        <f>"431124200009198249"</f>
        <v>431124200009198249</v>
      </c>
    </row>
    <row r="632" customFormat="1" spans="1:15">
      <c r="A632">
        <v>919</v>
      </c>
      <c r="B632" t="s">
        <v>1415</v>
      </c>
      <c r="C632" t="str">
        <f>"46000419950823082X"</f>
        <v>46000419950823082X</v>
      </c>
      <c r="D632" t="str">
        <f>"248030503627"</f>
        <v>248030503627</v>
      </c>
      <c r="L632">
        <v>919</v>
      </c>
      <c r="M632" t="s">
        <v>1415</v>
      </c>
      <c r="N632" t="str">
        <f>"248030503627"</f>
        <v>248030503627</v>
      </c>
      <c r="O632" t="str">
        <f>"46000419950823082X"</f>
        <v>46000419950823082X</v>
      </c>
    </row>
    <row r="633" customFormat="1" spans="1:15">
      <c r="A633">
        <v>922</v>
      </c>
      <c r="B633" t="s">
        <v>1416</v>
      </c>
      <c r="C633" t="str">
        <f>"230183199501250527"</f>
        <v>230183199501250527</v>
      </c>
      <c r="D633" t="str">
        <f>"248030101827"</f>
        <v>248030101827</v>
      </c>
      <c r="L633">
        <v>922</v>
      </c>
      <c r="M633" t="s">
        <v>1416</v>
      </c>
      <c r="N633" t="str">
        <f>"248030101827"</f>
        <v>248030101827</v>
      </c>
      <c r="O633" t="str">
        <f>"230183199501250527"</f>
        <v>230183199501250527</v>
      </c>
    </row>
    <row r="634" customFormat="1" spans="1:15">
      <c r="A634">
        <v>923</v>
      </c>
      <c r="B634" t="s">
        <v>1417</v>
      </c>
      <c r="C634" t="str">
        <f>"460031199906190826"</f>
        <v>460031199906190826</v>
      </c>
      <c r="D634" t="str">
        <f>"248030502718"</f>
        <v>248030502718</v>
      </c>
      <c r="L634">
        <v>923</v>
      </c>
      <c r="M634" t="s">
        <v>1417</v>
      </c>
      <c r="N634" t="str">
        <f>"248030502718"</f>
        <v>248030502718</v>
      </c>
      <c r="O634" t="str">
        <f>"460031199906190826"</f>
        <v>460031199906190826</v>
      </c>
    </row>
    <row r="635" customFormat="1" spans="1:15">
      <c r="A635">
        <v>924</v>
      </c>
      <c r="B635" t="s">
        <v>1418</v>
      </c>
      <c r="C635" t="str">
        <f>"460007200005034987"</f>
        <v>460007200005034987</v>
      </c>
      <c r="L635">
        <v>924</v>
      </c>
      <c r="M635" t="s">
        <v>1418</v>
      </c>
      <c r="O635" t="str">
        <f>"460007200005034987"</f>
        <v>460007200005034987</v>
      </c>
    </row>
    <row r="636" customFormat="1" spans="1:15">
      <c r="A636">
        <v>926</v>
      </c>
      <c r="B636" t="s">
        <v>1419</v>
      </c>
      <c r="C636" t="str">
        <f>"460200199007033348"</f>
        <v>460200199007033348</v>
      </c>
      <c r="D636" t="str">
        <f>"248030100808"</f>
        <v>248030100808</v>
      </c>
      <c r="L636">
        <v>926</v>
      </c>
      <c r="M636" t="s">
        <v>1419</v>
      </c>
      <c r="N636" t="str">
        <f>"248030100808"</f>
        <v>248030100808</v>
      </c>
      <c r="O636" t="str">
        <f>"460200199007033348"</f>
        <v>460200199007033348</v>
      </c>
    </row>
    <row r="637" customFormat="1" spans="1:15">
      <c r="A637">
        <v>927</v>
      </c>
      <c r="B637" t="s">
        <v>1420</v>
      </c>
      <c r="C637" t="str">
        <f>"460027199911161048"</f>
        <v>460027199911161048</v>
      </c>
      <c r="D637" t="str">
        <f>"248030400707"</f>
        <v>248030400707</v>
      </c>
      <c r="L637">
        <v>927</v>
      </c>
      <c r="M637" t="s">
        <v>1420</v>
      </c>
      <c r="N637" t="str">
        <f>"248030400707"</f>
        <v>248030400707</v>
      </c>
      <c r="O637" t="str">
        <f>"460027199911161048"</f>
        <v>460027199911161048</v>
      </c>
    </row>
    <row r="638" customFormat="1" spans="1:15">
      <c r="A638">
        <v>929</v>
      </c>
      <c r="B638" t="s">
        <v>814</v>
      </c>
      <c r="C638" t="str">
        <f>"460004198902201221"</f>
        <v>460004198902201221</v>
      </c>
      <c r="D638" t="str">
        <f>"248030402626"</f>
        <v>248030402626</v>
      </c>
      <c r="L638">
        <v>929</v>
      </c>
      <c r="M638" t="s">
        <v>814</v>
      </c>
      <c r="N638" t="str">
        <f>"248030402626"</f>
        <v>248030402626</v>
      </c>
      <c r="O638" t="str">
        <f>"460004198902201221"</f>
        <v>460004198902201221</v>
      </c>
    </row>
    <row r="639" customFormat="1" spans="1:15">
      <c r="A639">
        <v>930</v>
      </c>
      <c r="B639" t="s">
        <v>1421</v>
      </c>
      <c r="C639" t="str">
        <f>"460003200108030422"</f>
        <v>460003200108030422</v>
      </c>
      <c r="D639" t="str">
        <f>"248030103222"</f>
        <v>248030103222</v>
      </c>
      <c r="L639">
        <v>930</v>
      </c>
      <c r="M639" t="s">
        <v>1421</v>
      </c>
      <c r="N639" t="str">
        <f>"248030103222"</f>
        <v>248030103222</v>
      </c>
      <c r="O639" t="str">
        <f>"460003200108030422"</f>
        <v>460003200108030422</v>
      </c>
    </row>
    <row r="640" customFormat="1" spans="1:15">
      <c r="A640">
        <v>931</v>
      </c>
      <c r="B640" t="s">
        <v>1422</v>
      </c>
      <c r="C640" t="str">
        <f>"46000419980329464X"</f>
        <v>46000419980329464X</v>
      </c>
      <c r="D640" t="str">
        <f>"248030102021"</f>
        <v>248030102021</v>
      </c>
      <c r="L640">
        <v>931</v>
      </c>
      <c r="M640" t="s">
        <v>1422</v>
      </c>
      <c r="N640" t="str">
        <f>"248030102021"</f>
        <v>248030102021</v>
      </c>
      <c r="O640" t="str">
        <f>"46000419980329464X"</f>
        <v>46000419980329464X</v>
      </c>
    </row>
    <row r="641" customFormat="1" spans="1:15">
      <c r="A641">
        <v>932</v>
      </c>
      <c r="B641" t="s">
        <v>201</v>
      </c>
      <c r="C641" t="str">
        <f>"46000419991002002X"</f>
        <v>46000419991002002X</v>
      </c>
      <c r="D641" t="str">
        <f>"248030502404"</f>
        <v>248030502404</v>
      </c>
      <c r="L641">
        <v>932</v>
      </c>
      <c r="M641" t="s">
        <v>201</v>
      </c>
      <c r="N641" t="str">
        <f>"248030502404"</f>
        <v>248030502404</v>
      </c>
      <c r="O641" t="str">
        <f>"46000419991002002X"</f>
        <v>46000419991002002X</v>
      </c>
    </row>
    <row r="642" customFormat="1" spans="1:15">
      <c r="A642">
        <v>933</v>
      </c>
      <c r="B642" t="s">
        <v>1423</v>
      </c>
      <c r="C642" t="str">
        <f>"460006199609082726"</f>
        <v>460006199609082726</v>
      </c>
      <c r="D642" t="str">
        <f>"248030402113"</f>
        <v>248030402113</v>
      </c>
      <c r="L642">
        <v>933</v>
      </c>
      <c r="M642" t="s">
        <v>1423</v>
      </c>
      <c r="N642" t="str">
        <f>"248030402113"</f>
        <v>248030402113</v>
      </c>
      <c r="O642" t="str">
        <f>"460006199609082726"</f>
        <v>460006199609082726</v>
      </c>
    </row>
    <row r="643" customFormat="1" spans="1:15">
      <c r="A643">
        <v>934</v>
      </c>
      <c r="B643" t="s">
        <v>1424</v>
      </c>
      <c r="C643" t="str">
        <f>"510922199702210271"</f>
        <v>510922199702210271</v>
      </c>
      <c r="D643" t="str">
        <f>"248030403730"</f>
        <v>248030403730</v>
      </c>
      <c r="L643">
        <v>934</v>
      </c>
      <c r="M643" t="s">
        <v>1424</v>
      </c>
      <c r="N643" t="str">
        <f>"248030403730"</f>
        <v>248030403730</v>
      </c>
      <c r="O643" t="str">
        <f>"510922199702210271"</f>
        <v>510922199702210271</v>
      </c>
    </row>
    <row r="644" customFormat="1" spans="1:15">
      <c r="A644">
        <v>935</v>
      </c>
      <c r="B644" t="s">
        <v>1425</v>
      </c>
      <c r="C644" t="str">
        <f>"460104200111091244"</f>
        <v>460104200111091244</v>
      </c>
      <c r="D644" t="str">
        <f>"248030404312"</f>
        <v>248030404312</v>
      </c>
      <c r="L644">
        <v>935</v>
      </c>
      <c r="M644" t="s">
        <v>1425</v>
      </c>
      <c r="N644" t="str">
        <f>"248030404312"</f>
        <v>248030404312</v>
      </c>
      <c r="O644" t="str">
        <f>"460104200111091244"</f>
        <v>460104200111091244</v>
      </c>
    </row>
    <row r="645" customFormat="1" spans="1:15">
      <c r="A645">
        <v>936</v>
      </c>
      <c r="B645" t="s">
        <v>1426</v>
      </c>
      <c r="C645" t="str">
        <f>"513721199703023609"</f>
        <v>513721199703023609</v>
      </c>
      <c r="D645" t="str">
        <f>"248030401306"</f>
        <v>248030401306</v>
      </c>
      <c r="L645">
        <v>936</v>
      </c>
      <c r="M645" t="s">
        <v>1426</v>
      </c>
      <c r="N645" t="str">
        <f>"248030401306"</f>
        <v>248030401306</v>
      </c>
      <c r="O645" t="str">
        <f>"513721199703023609"</f>
        <v>513721199703023609</v>
      </c>
    </row>
    <row r="646" customFormat="1" spans="1:15">
      <c r="A646">
        <v>937</v>
      </c>
      <c r="B646" t="s">
        <v>1427</v>
      </c>
      <c r="C646" t="str">
        <f>"460003200001100013"</f>
        <v>460003200001100013</v>
      </c>
      <c r="L646">
        <v>937</v>
      </c>
      <c r="M646" t="s">
        <v>1427</v>
      </c>
      <c r="O646" t="str">
        <f>"460003200001100013"</f>
        <v>460003200001100013</v>
      </c>
    </row>
    <row r="647" customFormat="1" spans="1:15">
      <c r="A647">
        <v>938</v>
      </c>
      <c r="B647" t="s">
        <v>1428</v>
      </c>
      <c r="C647" t="str">
        <f>"511602200005196309"</f>
        <v>511602200005196309</v>
      </c>
      <c r="D647" t="str">
        <f>"248030203504"</f>
        <v>248030203504</v>
      </c>
      <c r="L647">
        <v>938</v>
      </c>
      <c r="M647" t="s">
        <v>1428</v>
      </c>
      <c r="N647" t="str">
        <f>"248030203504"</f>
        <v>248030203504</v>
      </c>
      <c r="O647" t="str">
        <f>"511602200005196309"</f>
        <v>511602200005196309</v>
      </c>
    </row>
    <row r="648" customFormat="1" spans="1:15">
      <c r="A648">
        <v>939</v>
      </c>
      <c r="B648" t="s">
        <v>1429</v>
      </c>
      <c r="C648" t="str">
        <f>"460103199403210020"</f>
        <v>460103199403210020</v>
      </c>
      <c r="D648" t="str">
        <f>"248030202508"</f>
        <v>248030202508</v>
      </c>
      <c r="L648">
        <v>939</v>
      </c>
      <c r="M648" t="s">
        <v>1429</v>
      </c>
      <c r="N648" t="str">
        <f>"248030202508"</f>
        <v>248030202508</v>
      </c>
      <c r="O648" t="str">
        <f>"460103199403210020"</f>
        <v>460103199403210020</v>
      </c>
    </row>
    <row r="649" customFormat="1" spans="1:15">
      <c r="A649">
        <v>940</v>
      </c>
      <c r="B649" t="s">
        <v>1430</v>
      </c>
      <c r="C649" t="str">
        <f>"362204199805038462"</f>
        <v>362204199805038462</v>
      </c>
      <c r="D649" t="str">
        <f>"248030203308"</f>
        <v>248030203308</v>
      </c>
      <c r="L649">
        <v>940</v>
      </c>
      <c r="M649" t="s">
        <v>1430</v>
      </c>
      <c r="N649" t="str">
        <f>"248030203308"</f>
        <v>248030203308</v>
      </c>
      <c r="O649" t="str">
        <f>"362204199805038462"</f>
        <v>362204199805038462</v>
      </c>
    </row>
    <row r="650" customFormat="1" spans="1:15">
      <c r="A650">
        <v>941</v>
      </c>
      <c r="B650" t="s">
        <v>1431</v>
      </c>
      <c r="C650" t="str">
        <f>"460003200204012646"</f>
        <v>460003200204012646</v>
      </c>
      <c r="D650" t="str">
        <f>"248030102916"</f>
        <v>248030102916</v>
      </c>
      <c r="L650">
        <v>941</v>
      </c>
      <c r="M650" t="s">
        <v>1431</v>
      </c>
      <c r="N650" t="str">
        <f>"248030102916"</f>
        <v>248030102916</v>
      </c>
      <c r="O650" t="str">
        <f>"460003200204012646"</f>
        <v>460003200204012646</v>
      </c>
    </row>
    <row r="651" customFormat="1" spans="1:15">
      <c r="A651">
        <v>942</v>
      </c>
      <c r="B651" t="s">
        <v>1432</v>
      </c>
      <c r="C651" t="str">
        <f>"460022199407103920"</f>
        <v>460022199407103920</v>
      </c>
      <c r="D651" t="str">
        <f>"248030103701"</f>
        <v>248030103701</v>
      </c>
      <c r="L651">
        <v>942</v>
      </c>
      <c r="M651" t="s">
        <v>1432</v>
      </c>
      <c r="N651" t="str">
        <f>"248030103701"</f>
        <v>248030103701</v>
      </c>
      <c r="O651" t="str">
        <f>"460022199407103920"</f>
        <v>460022199407103920</v>
      </c>
    </row>
    <row r="652" customFormat="1" spans="1:15">
      <c r="A652">
        <v>943</v>
      </c>
      <c r="B652" t="s">
        <v>1433</v>
      </c>
      <c r="C652" t="str">
        <f>"460005200202205615"</f>
        <v>460005200202205615</v>
      </c>
      <c r="D652" t="str">
        <f>"248030401505"</f>
        <v>248030401505</v>
      </c>
      <c r="L652">
        <v>943</v>
      </c>
      <c r="M652" t="s">
        <v>1433</v>
      </c>
      <c r="N652" t="str">
        <f>"248030401505"</f>
        <v>248030401505</v>
      </c>
      <c r="O652" t="str">
        <f>"460005200202205615"</f>
        <v>460005200202205615</v>
      </c>
    </row>
    <row r="653" customFormat="1" spans="1:15">
      <c r="A653">
        <v>944</v>
      </c>
      <c r="B653" t="s">
        <v>1434</v>
      </c>
      <c r="C653" t="str">
        <f>"460025199305072747"</f>
        <v>460025199305072747</v>
      </c>
      <c r="D653" t="str">
        <f>"248030503223"</f>
        <v>248030503223</v>
      </c>
      <c r="L653">
        <v>944</v>
      </c>
      <c r="M653" t="s">
        <v>1434</v>
      </c>
      <c r="N653" t="str">
        <f>"248030503223"</f>
        <v>248030503223</v>
      </c>
      <c r="O653" t="str">
        <f>"460025199305072747"</f>
        <v>460025199305072747</v>
      </c>
    </row>
    <row r="654" customFormat="1" spans="1:15">
      <c r="A654">
        <v>945</v>
      </c>
      <c r="B654" t="s">
        <v>1435</v>
      </c>
      <c r="C654" t="str">
        <f>"511112199301240925"</f>
        <v>511112199301240925</v>
      </c>
      <c r="D654" t="str">
        <f>"248030504007"</f>
        <v>248030504007</v>
      </c>
      <c r="L654">
        <v>945</v>
      </c>
      <c r="M654" t="s">
        <v>1435</v>
      </c>
      <c r="N654" t="str">
        <f>"248030504007"</f>
        <v>248030504007</v>
      </c>
      <c r="O654" t="str">
        <f>"511112199301240925"</f>
        <v>511112199301240925</v>
      </c>
    </row>
    <row r="655" customFormat="1" spans="1:15">
      <c r="A655">
        <v>947</v>
      </c>
      <c r="B655" t="s">
        <v>1436</v>
      </c>
      <c r="C655" t="str">
        <f>"460103199811081221"</f>
        <v>460103199811081221</v>
      </c>
      <c r="D655" t="str">
        <f>"248030302528"</f>
        <v>248030302528</v>
      </c>
      <c r="L655">
        <v>947</v>
      </c>
      <c r="M655" t="s">
        <v>1436</v>
      </c>
      <c r="N655" t="str">
        <f>"248030302528"</f>
        <v>248030302528</v>
      </c>
      <c r="O655" t="str">
        <f>"460103199811081221"</f>
        <v>460103199811081221</v>
      </c>
    </row>
    <row r="656" customFormat="1" spans="1:15">
      <c r="A656">
        <v>949</v>
      </c>
      <c r="B656" t="s">
        <v>1437</v>
      </c>
      <c r="C656" t="str">
        <f>"230107198907200828"</f>
        <v>230107198907200828</v>
      </c>
      <c r="L656">
        <v>949</v>
      </c>
      <c r="M656" t="s">
        <v>1437</v>
      </c>
      <c r="O656" t="str">
        <f>"230107198907200828"</f>
        <v>230107198907200828</v>
      </c>
    </row>
    <row r="657" customFormat="1" spans="1:15">
      <c r="A657">
        <v>951</v>
      </c>
      <c r="B657" t="s">
        <v>1438</v>
      </c>
      <c r="C657" t="str">
        <f>"460026199410020021"</f>
        <v>460026199410020021</v>
      </c>
      <c r="D657" t="str">
        <f>"248030500606"</f>
        <v>248030500606</v>
      </c>
      <c r="L657">
        <v>951</v>
      </c>
      <c r="M657" t="s">
        <v>1438</v>
      </c>
      <c r="N657" t="str">
        <f>"248030500606"</f>
        <v>248030500606</v>
      </c>
      <c r="O657" t="str">
        <f>"460026199410020021"</f>
        <v>460026199410020021</v>
      </c>
    </row>
    <row r="658" customFormat="1" spans="1:15">
      <c r="A658">
        <v>952</v>
      </c>
      <c r="B658" t="s">
        <v>1439</v>
      </c>
      <c r="C658" t="str">
        <f>"61042519920801094X"</f>
        <v>61042519920801094X</v>
      </c>
      <c r="D658" t="str">
        <f>"248030503421"</f>
        <v>248030503421</v>
      </c>
      <c r="L658">
        <v>952</v>
      </c>
      <c r="M658" t="s">
        <v>1439</v>
      </c>
      <c r="N658" t="str">
        <f>"248030503421"</f>
        <v>248030503421</v>
      </c>
      <c r="O658" t="str">
        <f>"61042519920801094X"</f>
        <v>61042519920801094X</v>
      </c>
    </row>
    <row r="659" customFormat="1" spans="1:15">
      <c r="A659">
        <v>953</v>
      </c>
      <c r="B659" t="s">
        <v>1440</v>
      </c>
      <c r="C659" t="str">
        <f>"460103200202160042"</f>
        <v>460103200202160042</v>
      </c>
      <c r="D659" t="str">
        <f>"248030101610"</f>
        <v>248030101610</v>
      </c>
      <c r="L659">
        <v>953</v>
      </c>
      <c r="M659" t="s">
        <v>1440</v>
      </c>
      <c r="N659" t="str">
        <f>"248030101610"</f>
        <v>248030101610</v>
      </c>
      <c r="O659" t="str">
        <f>"460103200202160042"</f>
        <v>460103200202160042</v>
      </c>
    </row>
    <row r="660" customFormat="1" spans="1:15">
      <c r="A660">
        <v>956</v>
      </c>
      <c r="B660" t="s">
        <v>1441</v>
      </c>
      <c r="C660" t="str">
        <f>"460104200210290046"</f>
        <v>460104200210290046</v>
      </c>
      <c r="D660" t="str">
        <f>"248030403116"</f>
        <v>248030403116</v>
      </c>
      <c r="L660">
        <v>956</v>
      </c>
      <c r="M660" t="s">
        <v>1441</v>
      </c>
      <c r="N660" t="str">
        <f>"248030403116"</f>
        <v>248030403116</v>
      </c>
      <c r="O660" t="str">
        <f>"460104200210290046"</f>
        <v>460104200210290046</v>
      </c>
    </row>
    <row r="661" customFormat="1" spans="1:15">
      <c r="A661">
        <v>957</v>
      </c>
      <c r="B661" t="s">
        <v>1442</v>
      </c>
      <c r="C661" t="str">
        <f>"469007200005204964"</f>
        <v>469007200005204964</v>
      </c>
      <c r="D661" t="str">
        <f>"248030203810"</f>
        <v>248030203810</v>
      </c>
      <c r="L661">
        <v>957</v>
      </c>
      <c r="M661" t="s">
        <v>1442</v>
      </c>
      <c r="N661" t="str">
        <f>"248030203810"</f>
        <v>248030203810</v>
      </c>
      <c r="O661" t="str">
        <f>"469007200005204964"</f>
        <v>469007200005204964</v>
      </c>
    </row>
    <row r="662" customFormat="1" spans="1:15">
      <c r="A662">
        <v>958</v>
      </c>
      <c r="B662" t="s">
        <v>1443</v>
      </c>
      <c r="C662" t="str">
        <f>"460200200102054441"</f>
        <v>460200200102054441</v>
      </c>
      <c r="D662" t="str">
        <f>"248030302216"</f>
        <v>248030302216</v>
      </c>
      <c r="L662">
        <v>958</v>
      </c>
      <c r="M662" t="s">
        <v>1443</v>
      </c>
      <c r="N662" t="str">
        <f>"248030302216"</f>
        <v>248030302216</v>
      </c>
      <c r="O662" t="str">
        <f>"460200200102054441"</f>
        <v>460200200102054441</v>
      </c>
    </row>
    <row r="663" customFormat="1" spans="1:15">
      <c r="A663">
        <v>959</v>
      </c>
      <c r="B663" t="s">
        <v>1444</v>
      </c>
      <c r="C663" t="str">
        <f>"460028199904057628"</f>
        <v>460028199904057628</v>
      </c>
      <c r="D663" t="str">
        <f>"248030501002"</f>
        <v>248030501002</v>
      </c>
      <c r="L663">
        <v>959</v>
      </c>
      <c r="M663" t="s">
        <v>1444</v>
      </c>
      <c r="N663" t="str">
        <f>"248030501002"</f>
        <v>248030501002</v>
      </c>
      <c r="O663" t="str">
        <f>"460028199904057628"</f>
        <v>460028199904057628</v>
      </c>
    </row>
    <row r="664" customFormat="1" spans="1:15">
      <c r="A664">
        <v>961</v>
      </c>
      <c r="B664" t="s">
        <v>1445</v>
      </c>
      <c r="C664" t="str">
        <f>"460102198912200612"</f>
        <v>460102198912200612</v>
      </c>
      <c r="D664" t="str">
        <f>"248030301807"</f>
        <v>248030301807</v>
      </c>
      <c r="L664">
        <v>961</v>
      </c>
      <c r="M664" t="s">
        <v>1445</v>
      </c>
      <c r="N664" t="str">
        <f>"248030301807"</f>
        <v>248030301807</v>
      </c>
      <c r="O664" t="str">
        <f>"460102198912200612"</f>
        <v>460102198912200612</v>
      </c>
    </row>
    <row r="665" customFormat="1" spans="1:15">
      <c r="A665">
        <v>962</v>
      </c>
      <c r="B665" t="s">
        <v>1446</v>
      </c>
      <c r="C665" t="str">
        <f>"46000320020908442X"</f>
        <v>46000320020908442X</v>
      </c>
      <c r="D665" t="str">
        <f>"248030404005"</f>
        <v>248030404005</v>
      </c>
      <c r="L665">
        <v>962</v>
      </c>
      <c r="M665" t="s">
        <v>1446</v>
      </c>
      <c r="N665" t="str">
        <f>"248030404005"</f>
        <v>248030404005</v>
      </c>
      <c r="O665" t="str">
        <f>"46000320020908442X"</f>
        <v>46000320020908442X</v>
      </c>
    </row>
    <row r="666" customFormat="1" spans="1:15">
      <c r="A666">
        <v>965</v>
      </c>
      <c r="B666" t="s">
        <v>1447</v>
      </c>
      <c r="C666" t="str">
        <f>"45022119980920142X"</f>
        <v>45022119980920142X</v>
      </c>
      <c r="D666" t="str">
        <f>"248030102928"</f>
        <v>248030102928</v>
      </c>
      <c r="L666">
        <v>965</v>
      </c>
      <c r="M666" t="s">
        <v>1447</v>
      </c>
      <c r="N666" t="str">
        <f>"248030102928"</f>
        <v>248030102928</v>
      </c>
      <c r="O666" t="str">
        <f>"45022119980920142X"</f>
        <v>45022119980920142X</v>
      </c>
    </row>
    <row r="667" customFormat="1" spans="1:15">
      <c r="A667">
        <v>967</v>
      </c>
      <c r="B667" t="s">
        <v>1448</v>
      </c>
      <c r="C667" t="str">
        <f>"460033199701154509"</f>
        <v>460033199701154509</v>
      </c>
      <c r="D667" t="str">
        <f>"248030501605"</f>
        <v>248030501605</v>
      </c>
      <c r="L667">
        <v>967</v>
      </c>
      <c r="M667" t="s">
        <v>1448</v>
      </c>
      <c r="N667" t="str">
        <f>"248030501605"</f>
        <v>248030501605</v>
      </c>
      <c r="O667" t="str">
        <f>"460033199701154509"</f>
        <v>460033199701154509</v>
      </c>
    </row>
    <row r="668" customFormat="1" spans="1:15">
      <c r="A668">
        <v>969</v>
      </c>
      <c r="B668" t="s">
        <v>1449</v>
      </c>
      <c r="C668" t="str">
        <f>"469021200103092123"</f>
        <v>469021200103092123</v>
      </c>
      <c r="D668" t="str">
        <f>"248030502730"</f>
        <v>248030502730</v>
      </c>
      <c r="L668">
        <v>969</v>
      </c>
      <c r="M668" t="s">
        <v>1449</v>
      </c>
      <c r="N668" t="str">
        <f>"248030502730"</f>
        <v>248030502730</v>
      </c>
      <c r="O668" t="str">
        <f>"469021200103092123"</f>
        <v>469021200103092123</v>
      </c>
    </row>
    <row r="669" customFormat="1" spans="1:15">
      <c r="A669">
        <v>973</v>
      </c>
      <c r="B669" t="s">
        <v>1450</v>
      </c>
      <c r="C669" t="str">
        <f>"460004199301150857"</f>
        <v>460004199301150857</v>
      </c>
      <c r="L669">
        <v>973</v>
      </c>
      <c r="M669" t="s">
        <v>1450</v>
      </c>
      <c r="O669" t="str">
        <f>"460004199301150857"</f>
        <v>460004199301150857</v>
      </c>
    </row>
    <row r="670" customFormat="1" spans="1:15">
      <c r="A670">
        <v>975</v>
      </c>
      <c r="B670" t="s">
        <v>1451</v>
      </c>
      <c r="C670" t="str">
        <f>"420106199906072047"</f>
        <v>420106199906072047</v>
      </c>
      <c r="D670" t="str">
        <f>"248030102126"</f>
        <v>248030102126</v>
      </c>
      <c r="L670">
        <v>975</v>
      </c>
      <c r="M670" t="s">
        <v>1451</v>
      </c>
      <c r="N670" t="str">
        <f>"248030102126"</f>
        <v>248030102126</v>
      </c>
      <c r="O670" t="str">
        <f>"420106199906072047"</f>
        <v>420106199906072047</v>
      </c>
    </row>
    <row r="671" customFormat="1" spans="1:15">
      <c r="A671">
        <v>976</v>
      </c>
      <c r="B671" t="s">
        <v>1452</v>
      </c>
      <c r="C671" t="str">
        <f>"500234199512275766"</f>
        <v>500234199512275766</v>
      </c>
      <c r="D671" t="str">
        <f>"248030202317"</f>
        <v>248030202317</v>
      </c>
      <c r="L671">
        <v>976</v>
      </c>
      <c r="M671" t="s">
        <v>1452</v>
      </c>
      <c r="N671" t="str">
        <f>"248030202317"</f>
        <v>248030202317</v>
      </c>
      <c r="O671" t="str">
        <f>"500234199512275766"</f>
        <v>500234199512275766</v>
      </c>
    </row>
    <row r="672" customFormat="1" spans="1:15">
      <c r="A672">
        <v>978</v>
      </c>
      <c r="B672" t="s">
        <v>1453</v>
      </c>
      <c r="C672" t="str">
        <f>"460002199410221527"</f>
        <v>460002199410221527</v>
      </c>
      <c r="L672">
        <v>978</v>
      </c>
      <c r="M672" t="s">
        <v>1453</v>
      </c>
      <c r="O672" t="str">
        <f>"460002199410221527"</f>
        <v>460002199410221527</v>
      </c>
    </row>
    <row r="673" customFormat="1" spans="1:15">
      <c r="A673">
        <v>980</v>
      </c>
      <c r="B673" t="s">
        <v>1454</v>
      </c>
      <c r="C673" t="str">
        <f>"460031200011140823"</f>
        <v>460031200011140823</v>
      </c>
      <c r="L673">
        <v>980</v>
      </c>
      <c r="M673" t="s">
        <v>1454</v>
      </c>
      <c r="O673" t="str">
        <f>"460031200011140823"</f>
        <v>460031200011140823</v>
      </c>
    </row>
    <row r="674" customFormat="1" spans="1:15">
      <c r="A674">
        <v>981</v>
      </c>
      <c r="B674" t="s">
        <v>1455</v>
      </c>
      <c r="C674" t="str">
        <f>"445281199806170321"</f>
        <v>445281199806170321</v>
      </c>
      <c r="D674" t="str">
        <f>"248030302712"</f>
        <v>248030302712</v>
      </c>
      <c r="L674">
        <v>981</v>
      </c>
      <c r="M674" t="s">
        <v>1455</v>
      </c>
      <c r="N674" t="str">
        <f>"248030302712"</f>
        <v>248030302712</v>
      </c>
      <c r="O674" t="str">
        <f>"445281199806170321"</f>
        <v>445281199806170321</v>
      </c>
    </row>
    <row r="675" customFormat="1" spans="1:15">
      <c r="A675">
        <v>982</v>
      </c>
      <c r="B675" t="s">
        <v>1456</v>
      </c>
      <c r="C675" t="str">
        <f>"460028198803100012"</f>
        <v>460028198803100012</v>
      </c>
      <c r="D675" t="str">
        <f>"248030301327"</f>
        <v>248030301327</v>
      </c>
      <c r="L675">
        <v>982</v>
      </c>
      <c r="M675" t="s">
        <v>1456</v>
      </c>
      <c r="N675" t="str">
        <f>"248030301327"</f>
        <v>248030301327</v>
      </c>
      <c r="O675" t="str">
        <f>"460028198803100012"</f>
        <v>460028198803100012</v>
      </c>
    </row>
    <row r="676" customFormat="1" spans="1:15">
      <c r="A676">
        <v>983</v>
      </c>
      <c r="B676" t="s">
        <v>1457</v>
      </c>
      <c r="C676" t="str">
        <f>"469023200212021327"</f>
        <v>469023200212021327</v>
      </c>
      <c r="D676" t="str">
        <f>"248030202604"</f>
        <v>248030202604</v>
      </c>
      <c r="L676">
        <v>983</v>
      </c>
      <c r="M676" t="s">
        <v>1457</v>
      </c>
      <c r="N676" t="str">
        <f>"248030202604"</f>
        <v>248030202604</v>
      </c>
      <c r="O676" t="str">
        <f>"469023200212021327"</f>
        <v>469023200212021327</v>
      </c>
    </row>
    <row r="677" customFormat="1" spans="1:15">
      <c r="A677">
        <v>984</v>
      </c>
      <c r="B677" t="s">
        <v>1458</v>
      </c>
      <c r="C677" t="str">
        <f>"460003200109221423"</f>
        <v>460003200109221423</v>
      </c>
      <c r="D677" t="str">
        <f>"248030403322"</f>
        <v>248030403322</v>
      </c>
      <c r="L677">
        <v>984</v>
      </c>
      <c r="M677" t="s">
        <v>1458</v>
      </c>
      <c r="N677" t="str">
        <f>"248030403322"</f>
        <v>248030403322</v>
      </c>
      <c r="O677" t="str">
        <f>"460003200109221423"</f>
        <v>460003200109221423</v>
      </c>
    </row>
    <row r="678" customFormat="1" spans="1:15">
      <c r="A678">
        <v>985</v>
      </c>
      <c r="B678" t="s">
        <v>1459</v>
      </c>
      <c r="C678" t="str">
        <f>"460027200007092326"</f>
        <v>460027200007092326</v>
      </c>
      <c r="D678" t="str">
        <f>"248030203422"</f>
        <v>248030203422</v>
      </c>
      <c r="L678">
        <v>985</v>
      </c>
      <c r="M678" t="s">
        <v>1459</v>
      </c>
      <c r="N678" t="str">
        <f>"248030203422"</f>
        <v>248030203422</v>
      </c>
      <c r="O678" t="str">
        <f>"460027200007092326"</f>
        <v>460027200007092326</v>
      </c>
    </row>
    <row r="679" customFormat="1" spans="1:15">
      <c r="A679">
        <v>986</v>
      </c>
      <c r="B679" t="s">
        <v>1460</v>
      </c>
      <c r="C679" t="str">
        <f>"469024200008191229"</f>
        <v>469024200008191229</v>
      </c>
      <c r="D679" t="str">
        <f>"248030103410"</f>
        <v>248030103410</v>
      </c>
      <c r="L679">
        <v>986</v>
      </c>
      <c r="M679" t="s">
        <v>1460</v>
      </c>
      <c r="N679" t="str">
        <f>"248030103410"</f>
        <v>248030103410</v>
      </c>
      <c r="O679" t="str">
        <f>"469024200008191229"</f>
        <v>469024200008191229</v>
      </c>
    </row>
    <row r="680" customFormat="1" spans="1:15">
      <c r="A680">
        <v>987</v>
      </c>
      <c r="B680" t="s">
        <v>1461</v>
      </c>
      <c r="C680" t="str">
        <f>"460003199711132428"</f>
        <v>460003199711132428</v>
      </c>
      <c r="D680" t="str">
        <f>"248030504125"</f>
        <v>248030504125</v>
      </c>
      <c r="L680">
        <v>987</v>
      </c>
      <c r="M680" t="s">
        <v>1461</v>
      </c>
      <c r="N680" t="str">
        <f>"248030504125"</f>
        <v>248030504125</v>
      </c>
      <c r="O680" t="str">
        <f>"460003199711132428"</f>
        <v>460003199711132428</v>
      </c>
    </row>
    <row r="681" customFormat="1" spans="1:15">
      <c r="A681">
        <v>990</v>
      </c>
      <c r="B681" t="s">
        <v>1462</v>
      </c>
      <c r="C681" t="str">
        <f>"460026200008190028"</f>
        <v>460026200008190028</v>
      </c>
      <c r="D681" t="str">
        <f>"248030504301"</f>
        <v>248030504301</v>
      </c>
      <c r="L681">
        <v>990</v>
      </c>
      <c r="M681" t="s">
        <v>1462</v>
      </c>
      <c r="N681" t="str">
        <f>"248030504301"</f>
        <v>248030504301</v>
      </c>
      <c r="O681" t="str">
        <f>"460026200008190028"</f>
        <v>460026200008190028</v>
      </c>
    </row>
    <row r="682" customFormat="1" spans="1:15">
      <c r="A682">
        <v>993</v>
      </c>
      <c r="B682" t="s">
        <v>1463</v>
      </c>
      <c r="C682" t="str">
        <f>"460004199906220424"</f>
        <v>460004199906220424</v>
      </c>
      <c r="D682" t="str">
        <f>"248030100727"</f>
        <v>248030100727</v>
      </c>
      <c r="L682">
        <v>993</v>
      </c>
      <c r="M682" t="s">
        <v>1463</v>
      </c>
      <c r="N682" t="str">
        <f>"248030100727"</f>
        <v>248030100727</v>
      </c>
      <c r="O682" t="str">
        <f>"460004199906220424"</f>
        <v>460004199906220424</v>
      </c>
    </row>
    <row r="683" customFormat="1" spans="1:15">
      <c r="A683">
        <v>995</v>
      </c>
      <c r="B683" t="s">
        <v>1464</v>
      </c>
      <c r="C683" t="str">
        <f>"460028200007217228"</f>
        <v>460028200007217228</v>
      </c>
      <c r="D683" t="str">
        <f>"248030100420"</f>
        <v>248030100420</v>
      </c>
      <c r="L683">
        <v>995</v>
      </c>
      <c r="M683" t="s">
        <v>1464</v>
      </c>
      <c r="N683" t="str">
        <f>"248030100420"</f>
        <v>248030100420</v>
      </c>
      <c r="O683" t="str">
        <f>"460028200007217228"</f>
        <v>460028200007217228</v>
      </c>
    </row>
    <row r="684" customFormat="1" spans="1:15">
      <c r="A684">
        <v>996</v>
      </c>
      <c r="B684" t="s">
        <v>1465</v>
      </c>
      <c r="C684" t="str">
        <f>"460200199809243347"</f>
        <v>460200199809243347</v>
      </c>
      <c r="D684" t="str">
        <f>"248030100328"</f>
        <v>248030100328</v>
      </c>
      <c r="L684">
        <v>996</v>
      </c>
      <c r="M684" t="s">
        <v>1465</v>
      </c>
      <c r="N684" t="str">
        <f>"248030100328"</f>
        <v>248030100328</v>
      </c>
      <c r="O684" t="str">
        <f>"460200199809243347"</f>
        <v>460200199809243347</v>
      </c>
    </row>
    <row r="685" customFormat="1" spans="1:15">
      <c r="A685">
        <v>997</v>
      </c>
      <c r="B685" t="s">
        <v>1466</v>
      </c>
      <c r="C685" t="str">
        <f>"440883199706013522"</f>
        <v>440883199706013522</v>
      </c>
      <c r="D685" t="str">
        <f>"248030203419"</f>
        <v>248030203419</v>
      </c>
      <c r="L685">
        <v>997</v>
      </c>
      <c r="M685" t="s">
        <v>1466</v>
      </c>
      <c r="N685" t="str">
        <f>"248030203419"</f>
        <v>248030203419</v>
      </c>
      <c r="O685" t="str">
        <f>"440883199706013522"</f>
        <v>440883199706013522</v>
      </c>
    </row>
    <row r="686" customFormat="1" spans="1:15">
      <c r="A686">
        <v>999</v>
      </c>
      <c r="B686" t="s">
        <v>1467</v>
      </c>
      <c r="C686" t="str">
        <f>"460003199911062225"</f>
        <v>460003199911062225</v>
      </c>
      <c r="D686" t="str">
        <f>"248030102011"</f>
        <v>248030102011</v>
      </c>
      <c r="L686">
        <v>999</v>
      </c>
      <c r="M686" t="s">
        <v>1467</v>
      </c>
      <c r="N686" t="str">
        <f>"248030102011"</f>
        <v>248030102011</v>
      </c>
      <c r="O686" t="str">
        <f>"460003199911062225"</f>
        <v>460003199911062225</v>
      </c>
    </row>
    <row r="687" customFormat="1" spans="1:15">
      <c r="A687">
        <v>1000</v>
      </c>
      <c r="B687" t="s">
        <v>1468</v>
      </c>
      <c r="C687" t="str">
        <f>"460007199912197223"</f>
        <v>460007199912197223</v>
      </c>
      <c r="D687" t="str">
        <f>"248030302205"</f>
        <v>248030302205</v>
      </c>
      <c r="L687">
        <v>1000</v>
      </c>
      <c r="M687" t="s">
        <v>1468</v>
      </c>
      <c r="N687" t="str">
        <f>"248030302205"</f>
        <v>248030302205</v>
      </c>
      <c r="O687" t="str">
        <f>"460007199912197223"</f>
        <v>460007199912197223</v>
      </c>
    </row>
    <row r="688" customFormat="1" spans="1:15">
      <c r="A688">
        <v>1003</v>
      </c>
      <c r="B688" t="s">
        <v>1469</v>
      </c>
      <c r="C688" t="str">
        <f>"460035200010021115"</f>
        <v>460035200010021115</v>
      </c>
      <c r="D688" t="str">
        <f>"248030503001"</f>
        <v>248030503001</v>
      </c>
      <c r="L688">
        <v>1003</v>
      </c>
      <c r="M688" t="s">
        <v>1469</v>
      </c>
      <c r="N688" t="str">
        <f>"248030503001"</f>
        <v>248030503001</v>
      </c>
      <c r="O688" t="str">
        <f>"460035200010021115"</f>
        <v>460035200010021115</v>
      </c>
    </row>
    <row r="689" customFormat="1" spans="1:15">
      <c r="A689">
        <v>1004</v>
      </c>
      <c r="B689" t="s">
        <v>1470</v>
      </c>
      <c r="C689" t="str">
        <f>"460102198707140622"</f>
        <v>460102198707140622</v>
      </c>
      <c r="D689" t="str">
        <f>"248030502804"</f>
        <v>248030502804</v>
      </c>
      <c r="L689">
        <v>1004</v>
      </c>
      <c r="M689" t="s">
        <v>1470</v>
      </c>
      <c r="N689" t="str">
        <f>"248030502804"</f>
        <v>248030502804</v>
      </c>
      <c r="O689" t="str">
        <f>"460102198707140622"</f>
        <v>460102198707140622</v>
      </c>
    </row>
    <row r="690" customFormat="1" spans="1:15">
      <c r="A690">
        <v>1005</v>
      </c>
      <c r="B690" t="s">
        <v>1471</v>
      </c>
      <c r="C690" t="str">
        <f>"460002198910145212"</f>
        <v>460002198910145212</v>
      </c>
      <c r="L690">
        <v>1005</v>
      </c>
      <c r="M690" t="s">
        <v>1471</v>
      </c>
      <c r="O690" t="str">
        <f>"460002198910145212"</f>
        <v>460002198910145212</v>
      </c>
    </row>
    <row r="691" customFormat="1" spans="1:15">
      <c r="A691">
        <v>1008</v>
      </c>
      <c r="B691" t="s">
        <v>1472</v>
      </c>
      <c r="C691" t="str">
        <f>"460200200005065720"</f>
        <v>460200200005065720</v>
      </c>
      <c r="D691" t="str">
        <f>"248030403714"</f>
        <v>248030403714</v>
      </c>
      <c r="L691">
        <v>1008</v>
      </c>
      <c r="M691" t="s">
        <v>1472</v>
      </c>
      <c r="N691" t="str">
        <f>"248030403714"</f>
        <v>248030403714</v>
      </c>
      <c r="O691" t="str">
        <f>"460200200005065720"</f>
        <v>460200200005065720</v>
      </c>
    </row>
    <row r="692" customFormat="1" spans="1:15">
      <c r="A692">
        <v>1009</v>
      </c>
      <c r="B692" t="s">
        <v>1473</v>
      </c>
      <c r="C692" t="str">
        <f>"460028200004030820"</f>
        <v>460028200004030820</v>
      </c>
      <c r="D692" t="str">
        <f>"248030101127"</f>
        <v>248030101127</v>
      </c>
      <c r="L692">
        <v>1009</v>
      </c>
      <c r="M692" t="s">
        <v>1473</v>
      </c>
      <c r="N692" t="str">
        <f>"248030101127"</f>
        <v>248030101127</v>
      </c>
      <c r="O692" t="str">
        <f>"460028200004030820"</f>
        <v>460028200004030820</v>
      </c>
    </row>
    <row r="693" customFormat="1" spans="1:15">
      <c r="A693">
        <v>1011</v>
      </c>
      <c r="B693" t="s">
        <v>1474</v>
      </c>
      <c r="C693" t="str">
        <f>"460003199702151029"</f>
        <v>460003199702151029</v>
      </c>
      <c r="L693">
        <v>1011</v>
      </c>
      <c r="M693" t="s">
        <v>1474</v>
      </c>
      <c r="O693" t="str">
        <f>"460003199702151029"</f>
        <v>460003199702151029</v>
      </c>
    </row>
    <row r="694" customFormat="1" spans="1:15">
      <c r="A694">
        <v>1012</v>
      </c>
      <c r="B694" t="s">
        <v>1475</v>
      </c>
      <c r="C694" t="str">
        <f>"460004200109145025"</f>
        <v>460004200109145025</v>
      </c>
      <c r="D694" t="str">
        <f>"248030401513"</f>
        <v>248030401513</v>
      </c>
      <c r="L694">
        <v>1012</v>
      </c>
      <c r="M694" t="s">
        <v>1475</v>
      </c>
      <c r="N694" t="str">
        <f>"248030401513"</f>
        <v>248030401513</v>
      </c>
      <c r="O694" t="str">
        <f>"460004200109145025"</f>
        <v>460004200109145025</v>
      </c>
    </row>
    <row r="695" customFormat="1" spans="1:15">
      <c r="A695">
        <v>1013</v>
      </c>
      <c r="B695" t="s">
        <v>1476</v>
      </c>
      <c r="C695" t="str">
        <f>"350525199909184944"</f>
        <v>350525199909184944</v>
      </c>
      <c r="D695" t="str">
        <f>"248030504206"</f>
        <v>248030504206</v>
      </c>
      <c r="L695">
        <v>1013</v>
      </c>
      <c r="M695" t="s">
        <v>1476</v>
      </c>
      <c r="N695" t="str">
        <f>"248030504206"</f>
        <v>248030504206</v>
      </c>
      <c r="O695" t="str">
        <f>"350525199909184944"</f>
        <v>350525199909184944</v>
      </c>
    </row>
    <row r="696" customFormat="1" spans="1:15">
      <c r="A696">
        <v>1014</v>
      </c>
      <c r="B696" t="s">
        <v>1477</v>
      </c>
      <c r="C696" t="str">
        <f>"469003199807026142"</f>
        <v>469003199807026142</v>
      </c>
      <c r="D696" t="str">
        <f>"248030402022"</f>
        <v>248030402022</v>
      </c>
      <c r="L696">
        <v>1014</v>
      </c>
      <c r="M696" t="s">
        <v>1477</v>
      </c>
      <c r="N696" t="str">
        <f>"248030402022"</f>
        <v>248030402022</v>
      </c>
      <c r="O696" t="str">
        <f>"469003199807026142"</f>
        <v>469003199807026142</v>
      </c>
    </row>
    <row r="697" customFormat="1" spans="1:15">
      <c r="A697">
        <v>1015</v>
      </c>
      <c r="B697" t="s">
        <v>1478</v>
      </c>
      <c r="C697" t="str">
        <f>"460033199412043343"</f>
        <v>460033199412043343</v>
      </c>
      <c r="L697">
        <v>1015</v>
      </c>
      <c r="M697" t="s">
        <v>1478</v>
      </c>
      <c r="O697" t="str">
        <f>"460033199412043343"</f>
        <v>460033199412043343</v>
      </c>
    </row>
    <row r="698" customFormat="1" spans="1:15">
      <c r="A698">
        <v>1016</v>
      </c>
      <c r="B698" t="s">
        <v>1479</v>
      </c>
      <c r="C698" t="str">
        <f>"460027199605062981"</f>
        <v>460027199605062981</v>
      </c>
      <c r="L698">
        <v>1016</v>
      </c>
      <c r="M698" t="s">
        <v>1479</v>
      </c>
      <c r="O698" t="str">
        <f>"460027199605062981"</f>
        <v>460027199605062981</v>
      </c>
    </row>
    <row r="699" customFormat="1" spans="1:15">
      <c r="A699">
        <v>1017</v>
      </c>
      <c r="B699" t="s">
        <v>1480</v>
      </c>
      <c r="C699" t="str">
        <f>"469023199512288220"</f>
        <v>469023199512288220</v>
      </c>
      <c r="D699" t="str">
        <f>"248030203715"</f>
        <v>248030203715</v>
      </c>
      <c r="L699">
        <v>1017</v>
      </c>
      <c r="M699" t="s">
        <v>1480</v>
      </c>
      <c r="N699" t="str">
        <f>"248030203715"</f>
        <v>248030203715</v>
      </c>
      <c r="O699" t="str">
        <f>"469023199512288220"</f>
        <v>469023199512288220</v>
      </c>
    </row>
    <row r="700" customFormat="1" spans="1:15">
      <c r="A700">
        <v>1018</v>
      </c>
      <c r="B700" t="s">
        <v>1481</v>
      </c>
      <c r="C700" t="str">
        <f>"341225199303190146"</f>
        <v>341225199303190146</v>
      </c>
      <c r="D700" t="str">
        <f>"248030501730"</f>
        <v>248030501730</v>
      </c>
      <c r="L700">
        <v>1018</v>
      </c>
      <c r="M700" t="s">
        <v>1481</v>
      </c>
      <c r="N700" t="str">
        <f>"248030501730"</f>
        <v>248030501730</v>
      </c>
      <c r="O700" t="str">
        <f>"341225199303190146"</f>
        <v>341225199303190146</v>
      </c>
    </row>
    <row r="701" customFormat="1" spans="1:15">
      <c r="A701">
        <v>1019</v>
      </c>
      <c r="B701" t="s">
        <v>1482</v>
      </c>
      <c r="C701" t="str">
        <f>"460002200101221027"</f>
        <v>460002200101221027</v>
      </c>
      <c r="D701" t="str">
        <f>"248030503905"</f>
        <v>248030503905</v>
      </c>
      <c r="L701">
        <v>1019</v>
      </c>
      <c r="M701" t="s">
        <v>1482</v>
      </c>
      <c r="N701" t="str">
        <f>"248030503905"</f>
        <v>248030503905</v>
      </c>
      <c r="O701" t="str">
        <f>"460002200101221027"</f>
        <v>460002200101221027</v>
      </c>
    </row>
    <row r="702" customFormat="1" spans="1:15">
      <c r="A702">
        <v>1021</v>
      </c>
      <c r="B702" t="s">
        <v>1483</v>
      </c>
      <c r="C702" t="str">
        <f>"460006199710302340"</f>
        <v>460006199710302340</v>
      </c>
      <c r="L702">
        <v>1021</v>
      </c>
      <c r="M702" t="s">
        <v>1483</v>
      </c>
      <c r="O702" t="str">
        <f>"460006199710302340"</f>
        <v>460006199710302340</v>
      </c>
    </row>
    <row r="703" customFormat="1" spans="1:15">
      <c r="A703">
        <v>1022</v>
      </c>
      <c r="B703" t="s">
        <v>1484</v>
      </c>
      <c r="C703" t="str">
        <f>"469007199808197221"</f>
        <v>469007199808197221</v>
      </c>
      <c r="D703" t="str">
        <f>"248030500425"</f>
        <v>248030500425</v>
      </c>
      <c r="L703">
        <v>1022</v>
      </c>
      <c r="M703" t="s">
        <v>1484</v>
      </c>
      <c r="N703" t="str">
        <f>"248030500425"</f>
        <v>248030500425</v>
      </c>
      <c r="O703" t="str">
        <f>"469007199808197221"</f>
        <v>469007199808197221</v>
      </c>
    </row>
    <row r="704" customFormat="1" spans="1:15">
      <c r="A704">
        <v>1023</v>
      </c>
      <c r="B704" t="s">
        <v>632</v>
      </c>
      <c r="C704" t="str">
        <f>"469027199909082082"</f>
        <v>469027199909082082</v>
      </c>
      <c r="D704" t="str">
        <f>"248030104314"</f>
        <v>248030104314</v>
      </c>
      <c r="L704">
        <v>1023</v>
      </c>
      <c r="M704" t="s">
        <v>632</v>
      </c>
      <c r="N704" t="str">
        <f>"248030104314"</f>
        <v>248030104314</v>
      </c>
      <c r="O704" t="str">
        <f>"469027199909082082"</f>
        <v>469027199909082082</v>
      </c>
    </row>
    <row r="705" customFormat="1" spans="1:15">
      <c r="A705">
        <v>1026</v>
      </c>
      <c r="B705" t="s">
        <v>1485</v>
      </c>
      <c r="C705" t="str">
        <f>"460006200106262325"</f>
        <v>460006200106262325</v>
      </c>
      <c r="D705" t="str">
        <f>"248030104911"</f>
        <v>248030104911</v>
      </c>
      <c r="L705">
        <v>1026</v>
      </c>
      <c r="M705" t="s">
        <v>1485</v>
      </c>
      <c r="N705" t="str">
        <f>"248030104911"</f>
        <v>248030104911</v>
      </c>
      <c r="O705" t="str">
        <f>"460006200106262325"</f>
        <v>460006200106262325</v>
      </c>
    </row>
    <row r="706" customFormat="1" spans="1:15">
      <c r="A706">
        <v>1027</v>
      </c>
      <c r="B706" t="s">
        <v>1486</v>
      </c>
      <c r="C706" t="str">
        <f>"460004199804131420"</f>
        <v>460004199804131420</v>
      </c>
      <c r="D706" t="str">
        <f>"248030401707"</f>
        <v>248030401707</v>
      </c>
      <c r="L706">
        <v>1027</v>
      </c>
      <c r="M706" t="s">
        <v>1486</v>
      </c>
      <c r="N706" t="str">
        <f>"248030401707"</f>
        <v>248030401707</v>
      </c>
      <c r="O706" t="str">
        <f>"460004199804131420"</f>
        <v>460004199804131420</v>
      </c>
    </row>
    <row r="707" customFormat="1" spans="1:15">
      <c r="A707">
        <v>1028</v>
      </c>
      <c r="B707" t="s">
        <v>201</v>
      </c>
      <c r="C707" t="str">
        <f>"460004199703226025"</f>
        <v>460004199703226025</v>
      </c>
      <c r="D707" t="str">
        <f>"248030101412"</f>
        <v>248030101412</v>
      </c>
      <c r="L707">
        <v>1028</v>
      </c>
      <c r="M707" t="s">
        <v>201</v>
      </c>
      <c r="N707" t="str">
        <f>"248030101412"</f>
        <v>248030101412</v>
      </c>
      <c r="O707" t="str">
        <f>"460004199703226025"</f>
        <v>460004199703226025</v>
      </c>
    </row>
    <row r="708" customFormat="1" spans="1:15">
      <c r="A708">
        <v>1032</v>
      </c>
      <c r="B708" t="s">
        <v>1487</v>
      </c>
      <c r="C708" t="str">
        <f>"430682200211221027"</f>
        <v>430682200211221027</v>
      </c>
      <c r="D708" t="str">
        <f>"248030203226"</f>
        <v>248030203226</v>
      </c>
      <c r="L708">
        <v>1032</v>
      </c>
      <c r="M708" t="s">
        <v>1487</v>
      </c>
      <c r="N708" t="str">
        <f>"248030203226"</f>
        <v>248030203226</v>
      </c>
      <c r="O708" t="str">
        <f>"430682200211221027"</f>
        <v>430682200211221027</v>
      </c>
    </row>
    <row r="709" customFormat="1" spans="1:15">
      <c r="A709">
        <v>1033</v>
      </c>
      <c r="B709" t="s">
        <v>1488</v>
      </c>
      <c r="C709" t="str">
        <f>"46010220010706032X"</f>
        <v>46010220010706032X</v>
      </c>
      <c r="D709" t="str">
        <f>"248030503822"</f>
        <v>248030503822</v>
      </c>
      <c r="L709">
        <v>1033</v>
      </c>
      <c r="M709" t="s">
        <v>1488</v>
      </c>
      <c r="N709" t="str">
        <f>"248030503822"</f>
        <v>248030503822</v>
      </c>
      <c r="O709" t="str">
        <f>"46010220010706032X"</f>
        <v>46010220010706032X</v>
      </c>
    </row>
    <row r="710" customFormat="1" spans="1:15">
      <c r="A710">
        <v>1034</v>
      </c>
      <c r="B710" t="s">
        <v>1489</v>
      </c>
      <c r="C710" t="str">
        <f>"460103199610163327"</f>
        <v>460103199610163327</v>
      </c>
      <c r="D710" t="str">
        <f>"248030502709"</f>
        <v>248030502709</v>
      </c>
      <c r="L710">
        <v>1034</v>
      </c>
      <c r="M710" t="s">
        <v>1489</v>
      </c>
      <c r="N710" t="str">
        <f>"248030502709"</f>
        <v>248030502709</v>
      </c>
      <c r="O710" t="str">
        <f>"460103199610163327"</f>
        <v>460103199610163327</v>
      </c>
    </row>
    <row r="711" customFormat="1" spans="1:15">
      <c r="A711">
        <v>1036</v>
      </c>
      <c r="B711" t="s">
        <v>1490</v>
      </c>
      <c r="C711" t="str">
        <f>"469024200108120815"</f>
        <v>469024200108120815</v>
      </c>
      <c r="D711" t="str">
        <f>"248030300528"</f>
        <v>248030300528</v>
      </c>
      <c r="L711">
        <v>1036</v>
      </c>
      <c r="M711" t="s">
        <v>1490</v>
      </c>
      <c r="N711" t="str">
        <f>"248030300528"</f>
        <v>248030300528</v>
      </c>
      <c r="O711" t="str">
        <f>"469024200108120815"</f>
        <v>469024200108120815</v>
      </c>
    </row>
    <row r="712" customFormat="1" spans="1:15">
      <c r="A712">
        <v>1037</v>
      </c>
      <c r="B712" t="s">
        <v>1491</v>
      </c>
      <c r="C712" t="str">
        <f>"460103199608050024"</f>
        <v>460103199608050024</v>
      </c>
      <c r="D712" t="str">
        <f>"248030102014"</f>
        <v>248030102014</v>
      </c>
      <c r="L712">
        <v>1037</v>
      </c>
      <c r="M712" t="s">
        <v>1491</v>
      </c>
      <c r="N712" t="str">
        <f>"248030102014"</f>
        <v>248030102014</v>
      </c>
      <c r="O712" t="str">
        <f>"460103199608050024"</f>
        <v>460103199608050024</v>
      </c>
    </row>
    <row r="713" customFormat="1" spans="1:15">
      <c r="A713">
        <v>1038</v>
      </c>
      <c r="B713" t="s">
        <v>1492</v>
      </c>
      <c r="C713" t="str">
        <f>"469006200110251627"</f>
        <v>469006200110251627</v>
      </c>
      <c r="D713" t="str">
        <f>"248030300823"</f>
        <v>248030300823</v>
      </c>
      <c r="L713">
        <v>1038</v>
      </c>
      <c r="M713" t="s">
        <v>1492</v>
      </c>
      <c r="N713" t="str">
        <f>"248030300823"</f>
        <v>248030300823</v>
      </c>
      <c r="O713" t="str">
        <f>"469006200110251627"</f>
        <v>469006200110251627</v>
      </c>
    </row>
    <row r="714" customFormat="1" spans="1:15">
      <c r="A714">
        <v>1039</v>
      </c>
      <c r="B714" t="s">
        <v>1493</v>
      </c>
      <c r="C714" t="str">
        <f>"469007200106215785"</f>
        <v>469007200106215785</v>
      </c>
      <c r="D714" t="str">
        <f>"248030301022"</f>
        <v>248030301022</v>
      </c>
      <c r="L714">
        <v>1039</v>
      </c>
      <c r="M714" t="s">
        <v>1493</v>
      </c>
      <c r="N714" t="str">
        <f>"248030301022"</f>
        <v>248030301022</v>
      </c>
      <c r="O714" t="str">
        <f>"469007200106215785"</f>
        <v>469007200106215785</v>
      </c>
    </row>
    <row r="715" customFormat="1" spans="1:15">
      <c r="A715">
        <v>1040</v>
      </c>
      <c r="B715" t="s">
        <v>1494</v>
      </c>
      <c r="C715" t="str">
        <f>"460031199812070022"</f>
        <v>460031199812070022</v>
      </c>
      <c r="D715" t="str">
        <f>"248030104424"</f>
        <v>248030104424</v>
      </c>
      <c r="L715">
        <v>1040</v>
      </c>
      <c r="M715" t="s">
        <v>1494</v>
      </c>
      <c r="N715" t="str">
        <f>"248030104424"</f>
        <v>248030104424</v>
      </c>
      <c r="O715" t="str">
        <f>"460031199812070022"</f>
        <v>460031199812070022</v>
      </c>
    </row>
    <row r="716" customFormat="1" spans="1:15">
      <c r="A716">
        <v>1041</v>
      </c>
      <c r="B716" t="s">
        <v>1495</v>
      </c>
      <c r="C716" t="str">
        <f>"460003200008200412"</f>
        <v>460003200008200412</v>
      </c>
      <c r="D716" t="str">
        <f>"248030201903"</f>
        <v>248030201903</v>
      </c>
      <c r="L716">
        <v>1041</v>
      </c>
      <c r="M716" t="s">
        <v>1495</v>
      </c>
      <c r="N716" t="str">
        <f>"248030201903"</f>
        <v>248030201903</v>
      </c>
      <c r="O716" t="str">
        <f>"460003200008200412"</f>
        <v>460003200008200412</v>
      </c>
    </row>
    <row r="717" customFormat="1" spans="1:15">
      <c r="A717">
        <v>1042</v>
      </c>
      <c r="B717" t="s">
        <v>179</v>
      </c>
      <c r="C717" t="str">
        <f>"460103199406171821"</f>
        <v>460103199406171821</v>
      </c>
      <c r="D717" t="str">
        <f>"248030501315"</f>
        <v>248030501315</v>
      </c>
      <c r="L717">
        <v>1042</v>
      </c>
      <c r="M717" t="s">
        <v>179</v>
      </c>
      <c r="N717" t="str">
        <f>"248030501315"</f>
        <v>248030501315</v>
      </c>
      <c r="O717" t="str">
        <f>"460103199406171821"</f>
        <v>460103199406171821</v>
      </c>
    </row>
    <row r="718" customFormat="1" spans="1:15">
      <c r="A718">
        <v>1045</v>
      </c>
      <c r="B718" t="s">
        <v>1496</v>
      </c>
      <c r="C718" t="str">
        <f>"460003199702132047"</f>
        <v>460003199702132047</v>
      </c>
      <c r="D718" t="str">
        <f>"248030504307"</f>
        <v>248030504307</v>
      </c>
      <c r="L718">
        <v>1045</v>
      </c>
      <c r="M718" t="s">
        <v>1496</v>
      </c>
      <c r="N718" t="str">
        <f>"248030504307"</f>
        <v>248030504307</v>
      </c>
      <c r="O718" t="str">
        <f>"460003199702132047"</f>
        <v>460003199702132047</v>
      </c>
    </row>
    <row r="719" customFormat="1" spans="1:15">
      <c r="A719">
        <v>1046</v>
      </c>
      <c r="B719" t="s">
        <v>1497</v>
      </c>
      <c r="C719" t="str">
        <f>"34080219950822081X"</f>
        <v>34080219950822081X</v>
      </c>
      <c r="D719" t="str">
        <f>"248030202512"</f>
        <v>248030202512</v>
      </c>
      <c r="L719">
        <v>1046</v>
      </c>
      <c r="M719" t="s">
        <v>1497</v>
      </c>
      <c r="N719" t="str">
        <f>"248030202512"</f>
        <v>248030202512</v>
      </c>
      <c r="O719" t="str">
        <f>"34080219950822081X"</f>
        <v>34080219950822081X</v>
      </c>
    </row>
    <row r="720" customFormat="1" spans="1:15">
      <c r="A720">
        <v>1047</v>
      </c>
      <c r="B720" t="s">
        <v>1498</v>
      </c>
      <c r="C720" t="str">
        <f>"460007199109135365"</f>
        <v>460007199109135365</v>
      </c>
      <c r="D720" t="str">
        <f>"248030500607"</f>
        <v>248030500607</v>
      </c>
      <c r="L720">
        <v>1047</v>
      </c>
      <c r="M720" t="s">
        <v>1498</v>
      </c>
      <c r="N720" t="str">
        <f>"248030500607"</f>
        <v>248030500607</v>
      </c>
      <c r="O720" t="str">
        <f>"460007199109135365"</f>
        <v>460007199109135365</v>
      </c>
    </row>
    <row r="721" customFormat="1" spans="1:15">
      <c r="A721">
        <v>1048</v>
      </c>
      <c r="B721" t="s">
        <v>1499</v>
      </c>
      <c r="C721" t="str">
        <f>"231003200104181029"</f>
        <v>231003200104181029</v>
      </c>
      <c r="D721" t="str">
        <f>"248030500117"</f>
        <v>248030500117</v>
      </c>
      <c r="L721">
        <v>1048</v>
      </c>
      <c r="M721" t="s">
        <v>1499</v>
      </c>
      <c r="N721" t="str">
        <f>"248030500117"</f>
        <v>248030500117</v>
      </c>
      <c r="O721" t="str">
        <f>"231003200104181029"</f>
        <v>231003200104181029</v>
      </c>
    </row>
    <row r="722" customFormat="1" spans="1:15">
      <c r="A722">
        <v>1050</v>
      </c>
      <c r="B722" t="s">
        <v>1500</v>
      </c>
      <c r="C722" t="str">
        <f>"460007199402160420"</f>
        <v>460007199402160420</v>
      </c>
      <c r="L722">
        <v>1050</v>
      </c>
      <c r="M722" t="s">
        <v>1500</v>
      </c>
      <c r="O722" t="str">
        <f>"460007199402160420"</f>
        <v>460007199402160420</v>
      </c>
    </row>
    <row r="723" customFormat="1" spans="1:15">
      <c r="A723">
        <v>1051</v>
      </c>
      <c r="B723" t="s">
        <v>1501</v>
      </c>
      <c r="C723" t="str">
        <f>"460200199512232743"</f>
        <v>460200199512232743</v>
      </c>
      <c r="D723" t="str">
        <f>"248030300506"</f>
        <v>248030300506</v>
      </c>
      <c r="L723">
        <v>1051</v>
      </c>
      <c r="M723" t="s">
        <v>1501</v>
      </c>
      <c r="N723" t="str">
        <f>"248030300506"</f>
        <v>248030300506</v>
      </c>
      <c r="O723" t="str">
        <f>"460200199512232743"</f>
        <v>460200199512232743</v>
      </c>
    </row>
    <row r="724" customFormat="1" spans="1:15">
      <c r="A724">
        <v>1052</v>
      </c>
      <c r="B724" t="s">
        <v>1502</v>
      </c>
      <c r="C724" t="str">
        <f>"460003199704280211"</f>
        <v>460003199704280211</v>
      </c>
      <c r="L724">
        <v>1052</v>
      </c>
      <c r="M724" t="s">
        <v>1502</v>
      </c>
      <c r="O724" t="str">
        <f>"460003199704280211"</f>
        <v>460003199704280211</v>
      </c>
    </row>
    <row r="725" customFormat="1" spans="1:15">
      <c r="A725">
        <v>1054</v>
      </c>
      <c r="B725" t="s">
        <v>603</v>
      </c>
      <c r="C725" t="str">
        <f>"460200200111231884"</f>
        <v>460200200111231884</v>
      </c>
      <c r="D725" t="str">
        <f>"248030103918"</f>
        <v>248030103918</v>
      </c>
      <c r="L725">
        <v>1054</v>
      </c>
      <c r="M725" t="s">
        <v>603</v>
      </c>
      <c r="N725" t="str">
        <f>"248030103918"</f>
        <v>248030103918</v>
      </c>
      <c r="O725" t="str">
        <f>"460200200111231884"</f>
        <v>460200200111231884</v>
      </c>
    </row>
    <row r="726" customFormat="1" spans="1:15">
      <c r="A726">
        <v>1056</v>
      </c>
      <c r="B726" t="s">
        <v>1503</v>
      </c>
      <c r="C726" t="str">
        <f>"460033200104054783"</f>
        <v>460033200104054783</v>
      </c>
      <c r="D726" t="str">
        <f>"248030103013"</f>
        <v>248030103013</v>
      </c>
      <c r="L726">
        <v>1056</v>
      </c>
      <c r="M726" t="s">
        <v>1503</v>
      </c>
      <c r="N726" t="str">
        <f>"248030103013"</f>
        <v>248030103013</v>
      </c>
      <c r="O726" t="str">
        <f>"460033200104054783"</f>
        <v>460033200104054783</v>
      </c>
    </row>
    <row r="727" customFormat="1" spans="1:15">
      <c r="A727">
        <v>1059</v>
      </c>
      <c r="B727" t="s">
        <v>1504</v>
      </c>
      <c r="C727" t="str">
        <f>"460031200204025645"</f>
        <v>460031200204025645</v>
      </c>
      <c r="D727" t="str">
        <f>"248030103526"</f>
        <v>248030103526</v>
      </c>
      <c r="L727">
        <v>1059</v>
      </c>
      <c r="M727" t="s">
        <v>1504</v>
      </c>
      <c r="N727" t="str">
        <f>"248030103526"</f>
        <v>248030103526</v>
      </c>
      <c r="O727" t="str">
        <f>"460031200204025645"</f>
        <v>460031200204025645</v>
      </c>
    </row>
    <row r="728" customFormat="1" spans="1:15">
      <c r="A728">
        <v>1060</v>
      </c>
      <c r="B728" t="s">
        <v>1505</v>
      </c>
      <c r="C728" t="str">
        <f>"469023200110193718"</f>
        <v>469023200110193718</v>
      </c>
      <c r="D728" t="str">
        <f>"248030300911"</f>
        <v>248030300911</v>
      </c>
      <c r="L728">
        <v>1060</v>
      </c>
      <c r="M728" t="s">
        <v>1505</v>
      </c>
      <c r="N728" t="str">
        <f>"248030300911"</f>
        <v>248030300911</v>
      </c>
      <c r="O728" t="str">
        <f>"469023200110193718"</f>
        <v>469023200110193718</v>
      </c>
    </row>
    <row r="729" customFormat="1" spans="1:15">
      <c r="A729">
        <v>1061</v>
      </c>
      <c r="B729" t="s">
        <v>1506</v>
      </c>
      <c r="C729" t="str">
        <f>"460106199906183422"</f>
        <v>460106199906183422</v>
      </c>
      <c r="D729" t="str">
        <f>"248030302030"</f>
        <v>248030302030</v>
      </c>
      <c r="L729">
        <v>1061</v>
      </c>
      <c r="M729" t="s">
        <v>1506</v>
      </c>
      <c r="N729" t="str">
        <f>"248030302030"</f>
        <v>248030302030</v>
      </c>
      <c r="O729" t="str">
        <f>"460106199906183422"</f>
        <v>460106199906183422</v>
      </c>
    </row>
    <row r="730" customFormat="1" spans="1:15">
      <c r="A730">
        <v>1064</v>
      </c>
      <c r="B730" t="s">
        <v>1507</v>
      </c>
      <c r="C730" t="str">
        <f>"460026199104145125"</f>
        <v>460026199104145125</v>
      </c>
      <c r="D730" t="str">
        <f>"248030503112"</f>
        <v>248030503112</v>
      </c>
      <c r="L730">
        <v>1064</v>
      </c>
      <c r="M730" t="s">
        <v>1507</v>
      </c>
      <c r="N730" t="str">
        <f>"248030503112"</f>
        <v>248030503112</v>
      </c>
      <c r="O730" t="str">
        <f>"460026199104145125"</f>
        <v>460026199104145125</v>
      </c>
    </row>
    <row r="731" customFormat="1" spans="1:15">
      <c r="A731">
        <v>1065</v>
      </c>
      <c r="B731" t="s">
        <v>1508</v>
      </c>
      <c r="C731" t="str">
        <f>"460103199909090345"</f>
        <v>460103199909090345</v>
      </c>
      <c r="D731" t="str">
        <f>"248030502611"</f>
        <v>248030502611</v>
      </c>
      <c r="L731">
        <v>1065</v>
      </c>
      <c r="M731" t="s">
        <v>1508</v>
      </c>
      <c r="N731" t="str">
        <f>"248030502611"</f>
        <v>248030502611</v>
      </c>
      <c r="O731" t="str">
        <f>"460103199909090345"</f>
        <v>460103199909090345</v>
      </c>
    </row>
    <row r="732" customFormat="1" spans="1:15">
      <c r="A732">
        <v>1067</v>
      </c>
      <c r="B732" t="s">
        <v>1509</v>
      </c>
      <c r="C732" t="str">
        <f>"460002200201171821"</f>
        <v>460002200201171821</v>
      </c>
      <c r="D732" t="str">
        <f>"248030402623"</f>
        <v>248030402623</v>
      </c>
      <c r="L732">
        <v>1067</v>
      </c>
      <c r="M732" t="s">
        <v>1509</v>
      </c>
      <c r="N732" t="str">
        <f>"248030402623"</f>
        <v>248030402623</v>
      </c>
      <c r="O732" t="str">
        <f>"460002200201171821"</f>
        <v>460002200201171821</v>
      </c>
    </row>
    <row r="733" customFormat="1" spans="1:15">
      <c r="A733">
        <v>1070</v>
      </c>
      <c r="B733" t="s">
        <v>1510</v>
      </c>
      <c r="C733" t="str">
        <f>"460028199403280880"</f>
        <v>460028199403280880</v>
      </c>
      <c r="L733">
        <v>1070</v>
      </c>
      <c r="M733" t="s">
        <v>1510</v>
      </c>
      <c r="O733" t="str">
        <f>"460028199403280880"</f>
        <v>460028199403280880</v>
      </c>
    </row>
    <row r="734" customFormat="1" spans="1:15">
      <c r="A734">
        <v>1071</v>
      </c>
      <c r="B734" t="s">
        <v>1511</v>
      </c>
      <c r="C734" t="str">
        <f>"460025199109070023"</f>
        <v>460025199109070023</v>
      </c>
      <c r="D734" t="str">
        <f>"248030300330"</f>
        <v>248030300330</v>
      </c>
      <c r="L734">
        <v>1071</v>
      </c>
      <c r="M734" t="s">
        <v>1511</v>
      </c>
      <c r="N734" t="str">
        <f>"248030300330"</f>
        <v>248030300330</v>
      </c>
      <c r="O734" t="str">
        <f>"460025199109070023"</f>
        <v>460025199109070023</v>
      </c>
    </row>
    <row r="735" customFormat="1" spans="1:15">
      <c r="A735">
        <v>1072</v>
      </c>
      <c r="B735" t="s">
        <v>1512</v>
      </c>
      <c r="C735" t="str">
        <f>"460004199806194628"</f>
        <v>460004199806194628</v>
      </c>
      <c r="L735">
        <v>1072</v>
      </c>
      <c r="M735" t="s">
        <v>1512</v>
      </c>
      <c r="O735" t="str">
        <f>"460004199806194628"</f>
        <v>460004199806194628</v>
      </c>
    </row>
    <row r="736" customFormat="1" spans="1:15">
      <c r="A736">
        <v>1073</v>
      </c>
      <c r="B736" t="s">
        <v>1513</v>
      </c>
      <c r="C736" t="str">
        <f>"460004200205300021"</f>
        <v>460004200205300021</v>
      </c>
      <c r="D736" t="str">
        <f>"248030103118"</f>
        <v>248030103118</v>
      </c>
      <c r="L736">
        <v>1073</v>
      </c>
      <c r="M736" t="s">
        <v>1513</v>
      </c>
      <c r="N736" t="str">
        <f>"248030103118"</f>
        <v>248030103118</v>
      </c>
      <c r="O736" t="str">
        <f>"460004200205300021"</f>
        <v>460004200205300021</v>
      </c>
    </row>
    <row r="737" customFormat="1" spans="1:15">
      <c r="A737">
        <v>1074</v>
      </c>
      <c r="B737" t="s">
        <v>1514</v>
      </c>
      <c r="C737" t="str">
        <f>"460033199601144485"</f>
        <v>460033199601144485</v>
      </c>
      <c r="L737">
        <v>1074</v>
      </c>
      <c r="M737" t="s">
        <v>1514</v>
      </c>
      <c r="O737" t="str">
        <f>"460033199601144485"</f>
        <v>460033199601144485</v>
      </c>
    </row>
    <row r="738" customFormat="1" spans="1:15">
      <c r="A738">
        <v>1077</v>
      </c>
      <c r="B738" t="s">
        <v>1515</v>
      </c>
      <c r="C738" t="str">
        <f>"460002199202020528"</f>
        <v>460002199202020528</v>
      </c>
      <c r="D738" t="str">
        <f>"248030101505"</f>
        <v>248030101505</v>
      </c>
      <c r="L738">
        <v>1077</v>
      </c>
      <c r="M738" t="s">
        <v>1515</v>
      </c>
      <c r="N738" t="str">
        <f>"248030101505"</f>
        <v>248030101505</v>
      </c>
      <c r="O738" t="str">
        <f>"460002199202020528"</f>
        <v>460002199202020528</v>
      </c>
    </row>
    <row r="739" customFormat="1" spans="1:15">
      <c r="A739">
        <v>1078</v>
      </c>
      <c r="B739" t="s">
        <v>1516</v>
      </c>
      <c r="C739" t="str">
        <f>"460034200202141828"</f>
        <v>460034200202141828</v>
      </c>
      <c r="D739" t="str">
        <f>"248030503617"</f>
        <v>248030503617</v>
      </c>
      <c r="L739">
        <v>1078</v>
      </c>
      <c r="M739" t="s">
        <v>1516</v>
      </c>
      <c r="N739" t="str">
        <f>"248030503617"</f>
        <v>248030503617</v>
      </c>
      <c r="O739" t="str">
        <f>"460034200202141828"</f>
        <v>460034200202141828</v>
      </c>
    </row>
    <row r="740" customFormat="1" spans="1:15">
      <c r="A740">
        <v>1079</v>
      </c>
      <c r="B740" t="s">
        <v>1517</v>
      </c>
      <c r="C740" t="str">
        <f>"460004199907042420"</f>
        <v>460004199907042420</v>
      </c>
      <c r="D740" t="str">
        <f>"248030104428"</f>
        <v>248030104428</v>
      </c>
      <c r="L740">
        <v>1079</v>
      </c>
      <c r="M740" t="s">
        <v>1517</v>
      </c>
      <c r="N740" t="str">
        <f>"248030104428"</f>
        <v>248030104428</v>
      </c>
      <c r="O740" t="str">
        <f>"460004199907042420"</f>
        <v>460004199907042420</v>
      </c>
    </row>
    <row r="741" customFormat="1" spans="1:15">
      <c r="A741">
        <v>1080</v>
      </c>
      <c r="B741" t="s">
        <v>1518</v>
      </c>
      <c r="C741" t="str">
        <f>"460102199304300948"</f>
        <v>460102199304300948</v>
      </c>
      <c r="D741" t="str">
        <f>"248030104503"</f>
        <v>248030104503</v>
      </c>
      <c r="L741">
        <v>1080</v>
      </c>
      <c r="M741" t="s">
        <v>1518</v>
      </c>
      <c r="N741" t="str">
        <f>"248030104503"</f>
        <v>248030104503</v>
      </c>
      <c r="O741" t="str">
        <f>"460102199304300948"</f>
        <v>460102199304300948</v>
      </c>
    </row>
    <row r="742" customFormat="1" spans="1:15">
      <c r="A742">
        <v>1081</v>
      </c>
      <c r="B742" t="s">
        <v>1519</v>
      </c>
      <c r="C742" t="str">
        <f>"460006198904017826"</f>
        <v>460006198904017826</v>
      </c>
      <c r="D742" t="str">
        <f>"248030400928"</f>
        <v>248030400928</v>
      </c>
      <c r="L742">
        <v>1081</v>
      </c>
      <c r="M742" t="s">
        <v>1519</v>
      </c>
      <c r="N742" t="str">
        <f>"248030400928"</f>
        <v>248030400928</v>
      </c>
      <c r="O742" t="str">
        <f>"460006198904017826"</f>
        <v>460006198904017826</v>
      </c>
    </row>
    <row r="743" customFormat="1" spans="1:15">
      <c r="A743">
        <v>1082</v>
      </c>
      <c r="B743" t="s">
        <v>1520</v>
      </c>
      <c r="C743" t="str">
        <f>"460003200308027420"</f>
        <v>460003200308027420</v>
      </c>
      <c r="D743" t="str">
        <f>"248030100330"</f>
        <v>248030100330</v>
      </c>
      <c r="L743">
        <v>1082</v>
      </c>
      <c r="M743" t="s">
        <v>1520</v>
      </c>
      <c r="N743" t="str">
        <f>"248030100330"</f>
        <v>248030100330</v>
      </c>
      <c r="O743" t="str">
        <f>"460003200308027420"</f>
        <v>460003200308027420</v>
      </c>
    </row>
    <row r="744" customFormat="1" spans="1:15">
      <c r="A744">
        <v>1083</v>
      </c>
      <c r="B744" t="s">
        <v>1521</v>
      </c>
      <c r="C744" t="str">
        <f>"445281200107076710"</f>
        <v>445281200107076710</v>
      </c>
      <c r="D744" t="str">
        <f>"248030401121"</f>
        <v>248030401121</v>
      </c>
      <c r="L744">
        <v>1083</v>
      </c>
      <c r="M744" t="s">
        <v>1521</v>
      </c>
      <c r="N744" t="str">
        <f>"248030401121"</f>
        <v>248030401121</v>
      </c>
      <c r="O744" t="str">
        <f>"445281200107076710"</f>
        <v>445281200107076710</v>
      </c>
    </row>
    <row r="745" customFormat="1" spans="1:15">
      <c r="A745">
        <v>1084</v>
      </c>
      <c r="B745" t="s">
        <v>1522</v>
      </c>
      <c r="C745" t="str">
        <f>"460003199610192042"</f>
        <v>460003199610192042</v>
      </c>
      <c r="D745" t="str">
        <f>"248030100906"</f>
        <v>248030100906</v>
      </c>
      <c r="L745">
        <v>1084</v>
      </c>
      <c r="M745" t="s">
        <v>1522</v>
      </c>
      <c r="N745" t="str">
        <f>"248030100906"</f>
        <v>248030100906</v>
      </c>
      <c r="O745" t="str">
        <f>"460003199610192042"</f>
        <v>460003199610192042</v>
      </c>
    </row>
    <row r="746" customFormat="1" spans="1:15">
      <c r="A746">
        <v>1086</v>
      </c>
      <c r="B746" t="s">
        <v>1523</v>
      </c>
      <c r="C746" t="str">
        <f>"460006199811281614"</f>
        <v>460006199811281614</v>
      </c>
      <c r="D746" t="str">
        <f>"248030300324"</f>
        <v>248030300324</v>
      </c>
      <c r="L746">
        <v>1086</v>
      </c>
      <c r="M746" t="s">
        <v>1523</v>
      </c>
      <c r="N746" t="str">
        <f>"248030300324"</f>
        <v>248030300324</v>
      </c>
      <c r="O746" t="str">
        <f>"460006199811281614"</f>
        <v>460006199811281614</v>
      </c>
    </row>
    <row r="747" customFormat="1" spans="1:15">
      <c r="A747">
        <v>1087</v>
      </c>
      <c r="B747" t="s">
        <v>1524</v>
      </c>
      <c r="C747" t="str">
        <f>"371122199001046617"</f>
        <v>371122199001046617</v>
      </c>
      <c r="D747" t="str">
        <f>"248030201103"</f>
        <v>248030201103</v>
      </c>
      <c r="L747">
        <v>1087</v>
      </c>
      <c r="M747" t="s">
        <v>1524</v>
      </c>
      <c r="N747" t="str">
        <f>"248030201103"</f>
        <v>248030201103</v>
      </c>
      <c r="O747" t="str">
        <f>"371122199001046617"</f>
        <v>371122199001046617</v>
      </c>
    </row>
    <row r="748" customFormat="1" spans="1:15">
      <c r="A748">
        <v>1088</v>
      </c>
      <c r="B748" t="s">
        <v>1525</v>
      </c>
      <c r="C748" t="str">
        <f>"469024200008150427"</f>
        <v>469024200008150427</v>
      </c>
      <c r="L748">
        <v>1088</v>
      </c>
      <c r="M748" t="s">
        <v>1525</v>
      </c>
      <c r="O748" t="str">
        <f>"469024200008150427"</f>
        <v>469024200008150427</v>
      </c>
    </row>
    <row r="749" customFormat="1" spans="1:15">
      <c r="A749">
        <v>1089</v>
      </c>
      <c r="B749" t="s">
        <v>1526</v>
      </c>
      <c r="C749" t="str">
        <f>"460103199510042720"</f>
        <v>460103199510042720</v>
      </c>
      <c r="D749" t="str">
        <f>"248030402527"</f>
        <v>248030402527</v>
      </c>
      <c r="L749">
        <v>1089</v>
      </c>
      <c r="M749" t="s">
        <v>1526</v>
      </c>
      <c r="N749" t="str">
        <f>"248030402527"</f>
        <v>248030402527</v>
      </c>
      <c r="O749" t="str">
        <f>"460103199510042720"</f>
        <v>460103199510042720</v>
      </c>
    </row>
    <row r="750" customFormat="1" spans="1:15">
      <c r="A750">
        <v>1090</v>
      </c>
      <c r="B750" t="s">
        <v>1527</v>
      </c>
      <c r="C750" t="str">
        <f>"460002199901170824"</f>
        <v>460002199901170824</v>
      </c>
      <c r="L750">
        <v>1090</v>
      </c>
      <c r="M750" t="s">
        <v>1527</v>
      </c>
      <c r="O750" t="str">
        <f>"460002199901170824"</f>
        <v>460002199901170824</v>
      </c>
    </row>
    <row r="751" customFormat="1" spans="1:15">
      <c r="A751">
        <v>1092</v>
      </c>
      <c r="B751" t="s">
        <v>1528</v>
      </c>
      <c r="C751" t="str">
        <f>"46002719881210852X"</f>
        <v>46002719881210852X</v>
      </c>
      <c r="D751" t="str">
        <f>"248030300905"</f>
        <v>248030300905</v>
      </c>
      <c r="L751">
        <v>1092</v>
      </c>
      <c r="M751" t="s">
        <v>1528</v>
      </c>
      <c r="N751" t="str">
        <f>"248030300905"</f>
        <v>248030300905</v>
      </c>
      <c r="O751" t="str">
        <f>"46002719881210852X"</f>
        <v>46002719881210852X</v>
      </c>
    </row>
    <row r="752" customFormat="1" spans="1:15">
      <c r="A752">
        <v>1093</v>
      </c>
      <c r="B752" t="s">
        <v>1529</v>
      </c>
      <c r="C752" t="str">
        <f>"460003199807052828"</f>
        <v>460003199807052828</v>
      </c>
      <c r="L752">
        <v>1093</v>
      </c>
      <c r="M752" t="s">
        <v>1529</v>
      </c>
      <c r="O752" t="str">
        <f>"460003199807052828"</f>
        <v>460003199807052828</v>
      </c>
    </row>
    <row r="753" customFormat="1" spans="1:15">
      <c r="A753">
        <v>1094</v>
      </c>
      <c r="B753" t="s">
        <v>1530</v>
      </c>
      <c r="C753" t="str">
        <f>"460033199707283889"</f>
        <v>460033199707283889</v>
      </c>
      <c r="D753" t="str">
        <f>"248030200905"</f>
        <v>248030200905</v>
      </c>
      <c r="L753">
        <v>1094</v>
      </c>
      <c r="M753" t="s">
        <v>1530</v>
      </c>
      <c r="N753" t="str">
        <f>"248030200905"</f>
        <v>248030200905</v>
      </c>
      <c r="O753" t="str">
        <f>"460033199707283889"</f>
        <v>460033199707283889</v>
      </c>
    </row>
    <row r="754" customFormat="1" spans="1:15">
      <c r="A754">
        <v>1095</v>
      </c>
      <c r="B754" t="s">
        <v>1531</v>
      </c>
      <c r="C754" t="str">
        <f>"46000620020222162X"</f>
        <v>46000620020222162X</v>
      </c>
      <c r="D754" t="str">
        <f>"248030102822"</f>
        <v>248030102822</v>
      </c>
      <c r="L754">
        <v>1095</v>
      </c>
      <c r="M754" t="s">
        <v>1531</v>
      </c>
      <c r="N754" t="str">
        <f>"248030102822"</f>
        <v>248030102822</v>
      </c>
      <c r="O754" t="str">
        <f>"46000620020222162X"</f>
        <v>46000620020222162X</v>
      </c>
    </row>
    <row r="755" customFormat="1" spans="1:15">
      <c r="A755">
        <v>1096</v>
      </c>
      <c r="B755" t="s">
        <v>1532</v>
      </c>
      <c r="C755" t="str">
        <f>"469030199911190427"</f>
        <v>469030199911190427</v>
      </c>
      <c r="D755" t="str">
        <f>"248030501521"</f>
        <v>248030501521</v>
      </c>
      <c r="L755">
        <v>1096</v>
      </c>
      <c r="M755" t="s">
        <v>1532</v>
      </c>
      <c r="N755" t="str">
        <f>"248030501521"</f>
        <v>248030501521</v>
      </c>
      <c r="O755" t="str">
        <f>"469030199911190427"</f>
        <v>469030199911190427</v>
      </c>
    </row>
    <row r="756" customFormat="1" spans="1:15">
      <c r="A756">
        <v>1097</v>
      </c>
      <c r="B756" t="s">
        <v>1533</v>
      </c>
      <c r="C756" t="str">
        <f>"460107200102273029"</f>
        <v>460107200102273029</v>
      </c>
      <c r="D756" t="str">
        <f>"248030103806"</f>
        <v>248030103806</v>
      </c>
      <c r="L756">
        <v>1097</v>
      </c>
      <c r="M756" t="s">
        <v>1533</v>
      </c>
      <c r="N756" t="str">
        <f>"248030103806"</f>
        <v>248030103806</v>
      </c>
      <c r="O756" t="str">
        <f>"460107200102273029"</f>
        <v>460107200102273029</v>
      </c>
    </row>
    <row r="757" customFormat="1" spans="1:15">
      <c r="A757">
        <v>1098</v>
      </c>
      <c r="B757" t="s">
        <v>1534</v>
      </c>
      <c r="C757" t="str">
        <f>"460102199007111526"</f>
        <v>460102199007111526</v>
      </c>
      <c r="D757" t="str">
        <f>"248030502202"</f>
        <v>248030502202</v>
      </c>
      <c r="L757">
        <v>1098</v>
      </c>
      <c r="M757" t="s">
        <v>1534</v>
      </c>
      <c r="N757" t="str">
        <f>"248030502202"</f>
        <v>248030502202</v>
      </c>
      <c r="O757" t="str">
        <f>"460102199007111526"</f>
        <v>460102199007111526</v>
      </c>
    </row>
    <row r="758" customFormat="1" spans="1:15">
      <c r="A758">
        <v>1099</v>
      </c>
      <c r="B758" t="s">
        <v>788</v>
      </c>
      <c r="C758" t="str">
        <f>"460006199603297224"</f>
        <v>460006199603297224</v>
      </c>
      <c r="D758" t="str">
        <f>"248030503422"</f>
        <v>248030503422</v>
      </c>
      <c r="L758">
        <v>1099</v>
      </c>
      <c r="M758" t="s">
        <v>788</v>
      </c>
      <c r="N758" t="str">
        <f>"248030503422"</f>
        <v>248030503422</v>
      </c>
      <c r="O758" t="str">
        <f>"460006199603297224"</f>
        <v>460006199603297224</v>
      </c>
    </row>
    <row r="759" customFormat="1" spans="1:15">
      <c r="A759">
        <v>1100</v>
      </c>
      <c r="B759" t="s">
        <v>1535</v>
      </c>
      <c r="C759" t="str">
        <f>"46000419960212082X"</f>
        <v>46000419960212082X</v>
      </c>
      <c r="D759" t="str">
        <f>"248030400128"</f>
        <v>248030400128</v>
      </c>
      <c r="L759">
        <v>1100</v>
      </c>
      <c r="M759" t="s">
        <v>1535</v>
      </c>
      <c r="N759" t="str">
        <f>"248030400128"</f>
        <v>248030400128</v>
      </c>
      <c r="O759" t="str">
        <f>"46000419960212082X"</f>
        <v>46000419960212082X</v>
      </c>
    </row>
    <row r="760" customFormat="1" spans="1:15">
      <c r="A760">
        <v>1101</v>
      </c>
      <c r="B760" t="s">
        <v>1326</v>
      </c>
      <c r="C760" t="str">
        <f>"460003200012054622"</f>
        <v>460003200012054622</v>
      </c>
      <c r="D760" t="str">
        <f>"248030500112"</f>
        <v>248030500112</v>
      </c>
      <c r="L760">
        <v>1101</v>
      </c>
      <c r="M760" t="s">
        <v>1326</v>
      </c>
      <c r="N760" t="str">
        <f>"248030500112"</f>
        <v>248030500112</v>
      </c>
      <c r="O760" t="str">
        <f>"460003200012054622"</f>
        <v>460003200012054622</v>
      </c>
    </row>
    <row r="761" customFormat="1" spans="1:15">
      <c r="A761">
        <v>1102</v>
      </c>
      <c r="B761" t="s">
        <v>1536</v>
      </c>
      <c r="C761" t="str">
        <f>"460200200004063846"</f>
        <v>460200200004063846</v>
      </c>
      <c r="D761" t="str">
        <f>"248030203812"</f>
        <v>248030203812</v>
      </c>
      <c r="L761">
        <v>1102</v>
      </c>
      <c r="M761" t="s">
        <v>1536</v>
      </c>
      <c r="N761" t="str">
        <f>"248030203812"</f>
        <v>248030203812</v>
      </c>
      <c r="O761" t="str">
        <f>"460200200004063846"</f>
        <v>460200200004063846</v>
      </c>
    </row>
    <row r="762" customFormat="1" spans="1:15">
      <c r="A762">
        <v>1103</v>
      </c>
      <c r="B762" t="s">
        <v>1537</v>
      </c>
      <c r="C762" t="str">
        <f>"460028199201124820"</f>
        <v>460028199201124820</v>
      </c>
      <c r="D762" t="str">
        <f>"248030202509"</f>
        <v>248030202509</v>
      </c>
      <c r="L762">
        <v>1103</v>
      </c>
      <c r="M762" t="s">
        <v>1537</v>
      </c>
      <c r="N762" t="str">
        <f>"248030202509"</f>
        <v>248030202509</v>
      </c>
      <c r="O762" t="str">
        <f>"460028199201124820"</f>
        <v>460028199201124820</v>
      </c>
    </row>
    <row r="763" customFormat="1" spans="1:15">
      <c r="A763">
        <v>1104</v>
      </c>
      <c r="B763" t="s">
        <v>1538</v>
      </c>
      <c r="C763" t="str">
        <f>"460007199610255766"</f>
        <v>460007199610255766</v>
      </c>
      <c r="L763">
        <v>1104</v>
      </c>
      <c r="M763" t="s">
        <v>1538</v>
      </c>
      <c r="O763" t="str">
        <f>"460007199610255766"</f>
        <v>460007199610255766</v>
      </c>
    </row>
    <row r="764" customFormat="1" spans="1:15">
      <c r="A764">
        <v>1105</v>
      </c>
      <c r="B764" t="s">
        <v>1539</v>
      </c>
      <c r="C764" t="str">
        <f>"412827198704290025"</f>
        <v>412827198704290025</v>
      </c>
      <c r="D764" t="str">
        <f>"248030102611"</f>
        <v>248030102611</v>
      </c>
      <c r="L764">
        <v>1105</v>
      </c>
      <c r="M764" t="s">
        <v>1539</v>
      </c>
      <c r="N764" t="str">
        <f>"248030102611"</f>
        <v>248030102611</v>
      </c>
      <c r="O764" t="str">
        <f>"412827198704290025"</f>
        <v>412827198704290025</v>
      </c>
    </row>
    <row r="765" customFormat="1" spans="1:15">
      <c r="A765">
        <v>1107</v>
      </c>
      <c r="B765" t="s">
        <v>811</v>
      </c>
      <c r="C765" t="str">
        <f>"460004199512183421"</f>
        <v>460004199512183421</v>
      </c>
      <c r="D765" t="str">
        <f>"248030301124"</f>
        <v>248030301124</v>
      </c>
      <c r="L765">
        <v>1107</v>
      </c>
      <c r="M765" t="s">
        <v>811</v>
      </c>
      <c r="N765" t="str">
        <f>"248030301124"</f>
        <v>248030301124</v>
      </c>
      <c r="O765" t="str">
        <f>"460004199512183421"</f>
        <v>460004199512183421</v>
      </c>
    </row>
    <row r="766" customFormat="1" spans="1:15">
      <c r="A766">
        <v>1109</v>
      </c>
      <c r="B766" t="s">
        <v>1540</v>
      </c>
      <c r="C766" t="str">
        <f>"469007199805200042"</f>
        <v>469007199805200042</v>
      </c>
      <c r="D766" t="str">
        <f>"248030501609"</f>
        <v>248030501609</v>
      </c>
      <c r="L766">
        <v>1109</v>
      </c>
      <c r="M766" t="s">
        <v>1540</v>
      </c>
      <c r="N766" t="str">
        <f>"248030501609"</f>
        <v>248030501609</v>
      </c>
      <c r="O766" t="str">
        <f>"469007199805200042"</f>
        <v>469007199805200042</v>
      </c>
    </row>
    <row r="767" customFormat="1" spans="1:15">
      <c r="A767">
        <v>1111</v>
      </c>
      <c r="B767" t="s">
        <v>1541</v>
      </c>
      <c r="C767" t="str">
        <f>"46002619940908006X"</f>
        <v>46002619940908006X</v>
      </c>
      <c r="L767">
        <v>1111</v>
      </c>
      <c r="M767" t="s">
        <v>1541</v>
      </c>
      <c r="O767" t="str">
        <f>"46002619940908006X"</f>
        <v>46002619940908006X</v>
      </c>
    </row>
    <row r="768" customFormat="1" spans="1:15">
      <c r="A768">
        <v>1113</v>
      </c>
      <c r="B768" t="s">
        <v>1542</v>
      </c>
      <c r="C768" t="str">
        <f>"230624199804010050"</f>
        <v>230624199804010050</v>
      </c>
      <c r="L768">
        <v>1113</v>
      </c>
      <c r="M768" t="s">
        <v>1542</v>
      </c>
      <c r="O768" t="str">
        <f>"230624199804010050"</f>
        <v>230624199804010050</v>
      </c>
    </row>
    <row r="769" customFormat="1" spans="1:15">
      <c r="A769">
        <v>1114</v>
      </c>
      <c r="B769" t="s">
        <v>1543</v>
      </c>
      <c r="C769" t="str">
        <f>"460006200207104641"</f>
        <v>460006200207104641</v>
      </c>
      <c r="D769" t="str">
        <f>"248030200918"</f>
        <v>248030200918</v>
      </c>
      <c r="L769">
        <v>1114</v>
      </c>
      <c r="M769" t="s">
        <v>1543</v>
      </c>
      <c r="N769" t="str">
        <f>"248030200918"</f>
        <v>248030200918</v>
      </c>
      <c r="O769" t="str">
        <f>"460006200207104641"</f>
        <v>460006200207104641</v>
      </c>
    </row>
    <row r="770" customFormat="1" spans="1:15">
      <c r="A770">
        <v>1115</v>
      </c>
      <c r="B770" t="s">
        <v>1544</v>
      </c>
      <c r="C770" t="str">
        <f>"469024200209256025"</f>
        <v>469024200209256025</v>
      </c>
      <c r="D770" t="str">
        <f>"248030103907"</f>
        <v>248030103907</v>
      </c>
      <c r="L770">
        <v>1115</v>
      </c>
      <c r="M770" t="s">
        <v>1544</v>
      </c>
      <c r="N770" t="str">
        <f>"248030103907"</f>
        <v>248030103907</v>
      </c>
      <c r="O770" t="str">
        <f>"469024200209256025"</f>
        <v>469024200209256025</v>
      </c>
    </row>
    <row r="771" customFormat="1" spans="1:15">
      <c r="A771">
        <v>1116</v>
      </c>
      <c r="B771" t="s">
        <v>1545</v>
      </c>
      <c r="C771" t="str">
        <f>"460026200205163926"</f>
        <v>460026200205163926</v>
      </c>
      <c r="D771" t="str">
        <f>"248030301228"</f>
        <v>248030301228</v>
      </c>
      <c r="L771">
        <v>1116</v>
      </c>
      <c r="M771" t="s">
        <v>1545</v>
      </c>
      <c r="N771" t="str">
        <f>"248030301228"</f>
        <v>248030301228</v>
      </c>
      <c r="O771" t="str">
        <f>"460026200205163926"</f>
        <v>460026200205163926</v>
      </c>
    </row>
    <row r="772" customFormat="1" spans="1:15">
      <c r="A772">
        <v>1118</v>
      </c>
      <c r="B772" t="s">
        <v>544</v>
      </c>
      <c r="C772" t="str">
        <f>"460003198701100428"</f>
        <v>460003198701100428</v>
      </c>
      <c r="D772" t="str">
        <f>"248030403423"</f>
        <v>248030403423</v>
      </c>
      <c r="L772">
        <v>1118</v>
      </c>
      <c r="M772" t="s">
        <v>544</v>
      </c>
      <c r="N772" t="str">
        <f>"248030403423"</f>
        <v>248030403423</v>
      </c>
      <c r="O772" t="str">
        <f>"460003198701100428"</f>
        <v>460003198701100428</v>
      </c>
    </row>
    <row r="773" customFormat="1" spans="1:15">
      <c r="A773">
        <v>1119</v>
      </c>
      <c r="B773" t="s">
        <v>1546</v>
      </c>
      <c r="C773" t="str">
        <f>"460200200107010026"</f>
        <v>460200200107010026</v>
      </c>
      <c r="D773" t="str">
        <f>"248030301307"</f>
        <v>248030301307</v>
      </c>
      <c r="L773">
        <v>1119</v>
      </c>
      <c r="M773" t="s">
        <v>1546</v>
      </c>
      <c r="N773" t="str">
        <f>"248030301307"</f>
        <v>248030301307</v>
      </c>
      <c r="O773" t="str">
        <f>"460200200107010026"</f>
        <v>460200200107010026</v>
      </c>
    </row>
    <row r="774" customFormat="1" spans="1:15">
      <c r="A774">
        <v>1121</v>
      </c>
      <c r="B774" t="s">
        <v>1547</v>
      </c>
      <c r="C774" t="str">
        <f>"460005199906114521"</f>
        <v>460005199906114521</v>
      </c>
      <c r="D774" t="str">
        <f>"248030501503"</f>
        <v>248030501503</v>
      </c>
      <c r="L774">
        <v>1121</v>
      </c>
      <c r="M774" t="s">
        <v>1547</v>
      </c>
      <c r="N774" t="str">
        <f>"248030501503"</f>
        <v>248030501503</v>
      </c>
      <c r="O774" t="str">
        <f>"460005199906114521"</f>
        <v>460005199906114521</v>
      </c>
    </row>
    <row r="775" customFormat="1" spans="1:15">
      <c r="A775">
        <v>1123</v>
      </c>
      <c r="B775" t="s">
        <v>1548</v>
      </c>
      <c r="C775" t="str">
        <f>"469006199910242029"</f>
        <v>469006199910242029</v>
      </c>
      <c r="D775" t="str">
        <f>"248030501109"</f>
        <v>248030501109</v>
      </c>
      <c r="L775">
        <v>1123</v>
      </c>
      <c r="M775" t="s">
        <v>1548</v>
      </c>
      <c r="N775" t="str">
        <f>"248030501109"</f>
        <v>248030501109</v>
      </c>
      <c r="O775" t="str">
        <f>"469006199910242029"</f>
        <v>469006199910242029</v>
      </c>
    </row>
    <row r="776" customFormat="1" spans="1:15">
      <c r="A776">
        <v>1124</v>
      </c>
      <c r="B776" t="s">
        <v>1549</v>
      </c>
      <c r="C776" t="str">
        <f>"460006200009274826"</f>
        <v>460006200009274826</v>
      </c>
      <c r="L776">
        <v>1124</v>
      </c>
      <c r="M776" t="s">
        <v>1549</v>
      </c>
      <c r="O776" t="str">
        <f>"460006200009274826"</f>
        <v>460006200009274826</v>
      </c>
    </row>
    <row r="777" customFormat="1" spans="1:15">
      <c r="A777">
        <v>1125</v>
      </c>
      <c r="B777" t="s">
        <v>1550</v>
      </c>
      <c r="C777" t="str">
        <f>"460104200110310628"</f>
        <v>460104200110310628</v>
      </c>
      <c r="D777" t="str">
        <f>"248030402017"</f>
        <v>248030402017</v>
      </c>
      <c r="L777">
        <v>1125</v>
      </c>
      <c r="M777" t="s">
        <v>1550</v>
      </c>
      <c r="N777" t="str">
        <f>"248030402017"</f>
        <v>248030402017</v>
      </c>
      <c r="O777" t="str">
        <f>"460104200110310628"</f>
        <v>460104200110310628</v>
      </c>
    </row>
    <row r="778" customFormat="1" spans="1:15">
      <c r="A778">
        <v>1126</v>
      </c>
      <c r="B778" t="s">
        <v>1551</v>
      </c>
      <c r="C778" t="str">
        <f>"469027200203233227"</f>
        <v>469027200203233227</v>
      </c>
      <c r="D778" t="str">
        <f>"248030501216"</f>
        <v>248030501216</v>
      </c>
      <c r="L778">
        <v>1126</v>
      </c>
      <c r="M778" t="s">
        <v>1551</v>
      </c>
      <c r="N778" t="str">
        <f>"248030501216"</f>
        <v>248030501216</v>
      </c>
      <c r="O778" t="str">
        <f>"469027200203233227"</f>
        <v>469027200203233227</v>
      </c>
    </row>
    <row r="779" customFormat="1" spans="1:15">
      <c r="A779">
        <v>1127</v>
      </c>
      <c r="B779" t="s">
        <v>1552</v>
      </c>
      <c r="C779" t="str">
        <f>"46000320020114386X"</f>
        <v>46000320020114386X</v>
      </c>
      <c r="L779">
        <v>1127</v>
      </c>
      <c r="M779" t="s">
        <v>1552</v>
      </c>
      <c r="O779" t="str">
        <f>"46000320020114386X"</f>
        <v>46000320020114386X</v>
      </c>
    </row>
    <row r="780" customFormat="1" spans="1:15">
      <c r="A780">
        <v>1129</v>
      </c>
      <c r="B780" t="s">
        <v>1553</v>
      </c>
      <c r="C780" t="str">
        <f>"469024199804241228"</f>
        <v>469024199804241228</v>
      </c>
      <c r="D780" t="str">
        <f>"248030203920"</f>
        <v>248030203920</v>
      </c>
      <c r="L780">
        <v>1129</v>
      </c>
      <c r="M780" t="s">
        <v>1553</v>
      </c>
      <c r="N780" t="str">
        <f>"248030203920"</f>
        <v>248030203920</v>
      </c>
      <c r="O780" t="str">
        <f>"469024199804241228"</f>
        <v>469024199804241228</v>
      </c>
    </row>
    <row r="781" customFormat="1" spans="1:15">
      <c r="A781">
        <v>1130</v>
      </c>
      <c r="B781" t="s">
        <v>1554</v>
      </c>
      <c r="C781" t="str">
        <f>"46902420020721004X"</f>
        <v>46902420020721004X</v>
      </c>
      <c r="D781" t="str">
        <f>"248030100527"</f>
        <v>248030100527</v>
      </c>
      <c r="L781">
        <v>1130</v>
      </c>
      <c r="M781" t="s">
        <v>1554</v>
      </c>
      <c r="N781" t="str">
        <f>"248030100527"</f>
        <v>248030100527</v>
      </c>
      <c r="O781" t="str">
        <f>"46902420020721004X"</f>
        <v>46902420020721004X</v>
      </c>
    </row>
    <row r="782" customFormat="1" spans="1:15">
      <c r="A782">
        <v>1131</v>
      </c>
      <c r="B782" t="s">
        <v>1555</v>
      </c>
      <c r="C782" t="str">
        <f>"46000220010312081X"</f>
        <v>46000220010312081X</v>
      </c>
      <c r="D782" t="str">
        <f>"248030202124"</f>
        <v>248030202124</v>
      </c>
      <c r="L782">
        <v>1131</v>
      </c>
      <c r="M782" t="s">
        <v>1555</v>
      </c>
      <c r="N782" t="str">
        <f>"248030202124"</f>
        <v>248030202124</v>
      </c>
      <c r="O782" t="str">
        <f>"46000220010312081X"</f>
        <v>46000220010312081X</v>
      </c>
    </row>
    <row r="783" customFormat="1" spans="1:15">
      <c r="A783">
        <v>1132</v>
      </c>
      <c r="B783" t="s">
        <v>1556</v>
      </c>
      <c r="C783" t="str">
        <f>"460026200106290022"</f>
        <v>460026200106290022</v>
      </c>
      <c r="D783" t="str">
        <f>"248030203221"</f>
        <v>248030203221</v>
      </c>
      <c r="L783">
        <v>1132</v>
      </c>
      <c r="M783" t="s">
        <v>1556</v>
      </c>
      <c r="N783" t="str">
        <f>"248030203221"</f>
        <v>248030203221</v>
      </c>
      <c r="O783" t="str">
        <f>"460026200106290022"</f>
        <v>460026200106290022</v>
      </c>
    </row>
    <row r="784" customFormat="1" spans="1:15">
      <c r="A784">
        <v>1134</v>
      </c>
      <c r="B784" t="s">
        <v>437</v>
      </c>
      <c r="C784" t="str">
        <f>"460005200012140013"</f>
        <v>460005200012140013</v>
      </c>
      <c r="D784" t="str">
        <f>"248030102603"</f>
        <v>248030102603</v>
      </c>
      <c r="L784">
        <v>1134</v>
      </c>
      <c r="M784" t="s">
        <v>437</v>
      </c>
      <c r="N784" t="str">
        <f>"248030102603"</f>
        <v>248030102603</v>
      </c>
      <c r="O784" t="str">
        <f>"460005200012140013"</f>
        <v>460005200012140013</v>
      </c>
    </row>
    <row r="785" customFormat="1" spans="1:15">
      <c r="A785">
        <v>1135</v>
      </c>
      <c r="B785" t="s">
        <v>1557</v>
      </c>
      <c r="C785" t="str">
        <f>"46003419920713092X"</f>
        <v>46003419920713092X</v>
      </c>
      <c r="D785" t="str">
        <f>"248030102421"</f>
        <v>248030102421</v>
      </c>
      <c r="L785">
        <v>1135</v>
      </c>
      <c r="M785" t="s">
        <v>1557</v>
      </c>
      <c r="N785" t="str">
        <f>"248030102421"</f>
        <v>248030102421</v>
      </c>
      <c r="O785" t="str">
        <f>"46003419920713092X"</f>
        <v>46003419920713092X</v>
      </c>
    </row>
    <row r="786" customFormat="1" spans="1:15">
      <c r="A786">
        <v>1136</v>
      </c>
      <c r="B786" t="s">
        <v>1558</v>
      </c>
      <c r="C786" t="str">
        <f>"460031199503180826"</f>
        <v>460031199503180826</v>
      </c>
      <c r="L786">
        <v>1136</v>
      </c>
      <c r="M786" t="s">
        <v>1558</v>
      </c>
      <c r="O786" t="str">
        <f>"460031199503180826"</f>
        <v>460031199503180826</v>
      </c>
    </row>
    <row r="787" customFormat="1" spans="1:15">
      <c r="A787">
        <v>1137</v>
      </c>
      <c r="B787" t="s">
        <v>1559</v>
      </c>
      <c r="C787" t="str">
        <f>"230621200107220921"</f>
        <v>230621200107220921</v>
      </c>
      <c r="L787">
        <v>1137</v>
      </c>
      <c r="M787" t="s">
        <v>1559</v>
      </c>
      <c r="O787" t="str">
        <f>"230621200107220921"</f>
        <v>230621200107220921</v>
      </c>
    </row>
    <row r="788" customFormat="1" spans="1:15">
      <c r="A788">
        <v>1138</v>
      </c>
      <c r="B788" t="s">
        <v>1560</v>
      </c>
      <c r="C788" t="str">
        <f>"46003419940807272X"</f>
        <v>46003419940807272X</v>
      </c>
      <c r="D788" t="str">
        <f>"248030502307"</f>
        <v>248030502307</v>
      </c>
      <c r="L788">
        <v>1138</v>
      </c>
      <c r="M788" t="s">
        <v>1560</v>
      </c>
      <c r="N788" t="str">
        <f>"248030502307"</f>
        <v>248030502307</v>
      </c>
      <c r="O788" t="str">
        <f>"46003419940807272X"</f>
        <v>46003419940807272X</v>
      </c>
    </row>
    <row r="789" customFormat="1" spans="1:15">
      <c r="A789">
        <v>1139</v>
      </c>
      <c r="B789" t="s">
        <v>1561</v>
      </c>
      <c r="C789" t="str">
        <f>"130828199711050283"</f>
        <v>130828199711050283</v>
      </c>
      <c r="D789" t="str">
        <f>"248030300402"</f>
        <v>248030300402</v>
      </c>
      <c r="L789">
        <v>1139</v>
      </c>
      <c r="M789" t="s">
        <v>1561</v>
      </c>
      <c r="N789" t="str">
        <f>"248030300402"</f>
        <v>248030300402</v>
      </c>
      <c r="O789" t="str">
        <f>"130828199711050283"</f>
        <v>130828199711050283</v>
      </c>
    </row>
    <row r="790" customFormat="1" spans="1:15">
      <c r="A790">
        <v>1140</v>
      </c>
      <c r="B790" t="s">
        <v>1562</v>
      </c>
      <c r="C790" t="str">
        <f>"460006200109165926"</f>
        <v>460006200109165926</v>
      </c>
      <c r="D790" t="str">
        <f>"248030200529"</f>
        <v>248030200529</v>
      </c>
      <c r="L790">
        <v>1140</v>
      </c>
      <c r="M790" t="s">
        <v>1562</v>
      </c>
      <c r="N790" t="str">
        <f>"248030200529"</f>
        <v>248030200529</v>
      </c>
      <c r="O790" t="str">
        <f>"460006200109165926"</f>
        <v>460006200109165926</v>
      </c>
    </row>
    <row r="791" customFormat="1" spans="1:15">
      <c r="A791">
        <v>1142</v>
      </c>
      <c r="B791" t="s">
        <v>705</v>
      </c>
      <c r="C791" t="str">
        <f>"460027199912122614"</f>
        <v>460027199912122614</v>
      </c>
      <c r="D791" t="str">
        <f>"248030100703"</f>
        <v>248030100703</v>
      </c>
      <c r="L791">
        <v>1142</v>
      </c>
      <c r="M791" t="s">
        <v>705</v>
      </c>
      <c r="N791" t="str">
        <f>"248030100703"</f>
        <v>248030100703</v>
      </c>
      <c r="O791" t="str">
        <f>"460027199912122614"</f>
        <v>460027199912122614</v>
      </c>
    </row>
    <row r="792" customFormat="1" spans="1:15">
      <c r="A792">
        <v>1143</v>
      </c>
      <c r="B792" t="s">
        <v>1563</v>
      </c>
      <c r="C792" t="str">
        <f>"460004199212226418"</f>
        <v>460004199212226418</v>
      </c>
      <c r="D792" t="str">
        <f>"248030400216"</f>
        <v>248030400216</v>
      </c>
      <c r="L792">
        <v>1143</v>
      </c>
      <c r="M792" t="s">
        <v>1563</v>
      </c>
      <c r="N792" t="str">
        <f>"248030400216"</f>
        <v>248030400216</v>
      </c>
      <c r="O792" t="str">
        <f>"460004199212226418"</f>
        <v>460004199212226418</v>
      </c>
    </row>
    <row r="793" customFormat="1" spans="1:15">
      <c r="A793">
        <v>1144</v>
      </c>
      <c r="B793" t="s">
        <v>441</v>
      </c>
      <c r="C793" t="str">
        <f>"460003199902094225"</f>
        <v>460003199902094225</v>
      </c>
      <c r="D793" t="str">
        <f>"248030403822"</f>
        <v>248030403822</v>
      </c>
      <c r="L793">
        <v>1144</v>
      </c>
      <c r="M793" t="s">
        <v>441</v>
      </c>
      <c r="N793" t="str">
        <f>"248030403822"</f>
        <v>248030403822</v>
      </c>
      <c r="O793" t="str">
        <f>"460003199902094225"</f>
        <v>460003199902094225</v>
      </c>
    </row>
    <row r="794" customFormat="1" spans="1:15">
      <c r="A794">
        <v>1145</v>
      </c>
      <c r="B794" t="s">
        <v>1564</v>
      </c>
      <c r="C794" t="str">
        <f>"460103199910150026"</f>
        <v>460103199910150026</v>
      </c>
      <c r="D794" t="str">
        <f>"248030203108"</f>
        <v>248030203108</v>
      </c>
      <c r="L794">
        <v>1145</v>
      </c>
      <c r="M794" t="s">
        <v>1564</v>
      </c>
      <c r="N794" t="str">
        <f>"248030203108"</f>
        <v>248030203108</v>
      </c>
      <c r="O794" t="str">
        <f>"460103199910150026"</f>
        <v>460103199910150026</v>
      </c>
    </row>
    <row r="795" customFormat="1" spans="1:15">
      <c r="A795">
        <v>1146</v>
      </c>
      <c r="B795" t="s">
        <v>1565</v>
      </c>
      <c r="C795" t="str">
        <f>"460003199512216020"</f>
        <v>460003199512216020</v>
      </c>
      <c r="D795" t="str">
        <f>"248030102210"</f>
        <v>248030102210</v>
      </c>
      <c r="L795">
        <v>1146</v>
      </c>
      <c r="M795" t="s">
        <v>1565</v>
      </c>
      <c r="N795" t="str">
        <f>"248030102210"</f>
        <v>248030102210</v>
      </c>
      <c r="O795" t="str">
        <f>"460003199512216020"</f>
        <v>460003199512216020</v>
      </c>
    </row>
    <row r="796" customFormat="1" spans="1:15">
      <c r="A796">
        <v>1147</v>
      </c>
      <c r="B796" t="s">
        <v>1566</v>
      </c>
      <c r="C796" t="str">
        <f>"230803199002270327"</f>
        <v>230803199002270327</v>
      </c>
      <c r="L796">
        <v>1147</v>
      </c>
      <c r="M796" t="s">
        <v>1566</v>
      </c>
      <c r="O796" t="str">
        <f>"230803199002270327"</f>
        <v>230803199002270327</v>
      </c>
    </row>
    <row r="797" customFormat="1" spans="1:15">
      <c r="A797">
        <v>1149</v>
      </c>
      <c r="B797" t="s">
        <v>1567</v>
      </c>
      <c r="C797" t="str">
        <f>"460004199609250846"</f>
        <v>460004199609250846</v>
      </c>
      <c r="D797" t="str">
        <f>"248030401709"</f>
        <v>248030401709</v>
      </c>
      <c r="L797">
        <v>1149</v>
      </c>
      <c r="M797" t="s">
        <v>1567</v>
      </c>
      <c r="N797" t="str">
        <f>"248030401709"</f>
        <v>248030401709</v>
      </c>
      <c r="O797" t="str">
        <f>"460004199609250846"</f>
        <v>460004199609250846</v>
      </c>
    </row>
    <row r="798" customFormat="1" spans="1:15">
      <c r="A798">
        <v>1150</v>
      </c>
      <c r="B798" t="s">
        <v>1568</v>
      </c>
      <c r="C798" t="str">
        <f>"44098219981006496X"</f>
        <v>44098219981006496X</v>
      </c>
      <c r="D798" t="str">
        <f>"248030503105"</f>
        <v>248030503105</v>
      </c>
      <c r="L798">
        <v>1150</v>
      </c>
      <c r="M798" t="s">
        <v>1568</v>
      </c>
      <c r="N798" t="str">
        <f>"248030503105"</f>
        <v>248030503105</v>
      </c>
      <c r="O798" t="str">
        <f>"44098219981006496X"</f>
        <v>44098219981006496X</v>
      </c>
    </row>
    <row r="799" customFormat="1" spans="1:15">
      <c r="A799">
        <v>1151</v>
      </c>
      <c r="B799" t="s">
        <v>1569</v>
      </c>
      <c r="C799" t="str">
        <f>"460007199310065813"</f>
        <v>460007199310065813</v>
      </c>
      <c r="D799" t="str">
        <f>"248030102607"</f>
        <v>248030102607</v>
      </c>
      <c r="L799">
        <v>1151</v>
      </c>
      <c r="M799" t="s">
        <v>1569</v>
      </c>
      <c r="N799" t="str">
        <f>"248030102607"</f>
        <v>248030102607</v>
      </c>
      <c r="O799" t="str">
        <f>"460007199310065813"</f>
        <v>460007199310065813</v>
      </c>
    </row>
    <row r="800" customFormat="1" spans="1:15">
      <c r="A800">
        <v>1152</v>
      </c>
      <c r="B800" t="s">
        <v>1570</v>
      </c>
      <c r="C800" t="str">
        <f>"460033199005033084"</f>
        <v>460033199005033084</v>
      </c>
      <c r="D800" t="str">
        <f>"248030402021"</f>
        <v>248030402021</v>
      </c>
      <c r="L800">
        <v>1152</v>
      </c>
      <c r="M800" t="s">
        <v>1570</v>
      </c>
      <c r="N800" t="str">
        <f>"248030402021"</f>
        <v>248030402021</v>
      </c>
      <c r="O800" t="str">
        <f>"460033199005033084"</f>
        <v>460033199005033084</v>
      </c>
    </row>
    <row r="801" customFormat="1" spans="1:15">
      <c r="A801">
        <v>1153</v>
      </c>
      <c r="B801" t="s">
        <v>1571</v>
      </c>
      <c r="C801" t="str">
        <f>"460004199203230423"</f>
        <v>460004199203230423</v>
      </c>
      <c r="D801" t="str">
        <f>"248030403410"</f>
        <v>248030403410</v>
      </c>
      <c r="L801">
        <v>1153</v>
      </c>
      <c r="M801" t="s">
        <v>1571</v>
      </c>
      <c r="N801" t="str">
        <f>"248030403410"</f>
        <v>248030403410</v>
      </c>
      <c r="O801" t="str">
        <f>"460004199203230423"</f>
        <v>460004199203230423</v>
      </c>
    </row>
    <row r="802" customFormat="1" spans="1:15">
      <c r="A802">
        <v>1155</v>
      </c>
      <c r="B802" t="s">
        <v>1572</v>
      </c>
      <c r="C802" t="str">
        <f>"230505198605010446"</f>
        <v>230505198605010446</v>
      </c>
      <c r="D802" t="str">
        <f>"248030502524"</f>
        <v>248030502524</v>
      </c>
      <c r="L802">
        <v>1155</v>
      </c>
      <c r="M802" t="s">
        <v>1572</v>
      </c>
      <c r="N802" t="str">
        <f>"248030502524"</f>
        <v>248030502524</v>
      </c>
      <c r="O802" t="str">
        <f>"230505198605010446"</f>
        <v>230505198605010446</v>
      </c>
    </row>
    <row r="803" customFormat="1" spans="1:15">
      <c r="A803">
        <v>1156</v>
      </c>
      <c r="B803" t="s">
        <v>1573</v>
      </c>
      <c r="C803" t="str">
        <f>"460034199510274723"</f>
        <v>460034199510274723</v>
      </c>
      <c r="D803" t="str">
        <f>"248030501824"</f>
        <v>248030501824</v>
      </c>
      <c r="L803">
        <v>1156</v>
      </c>
      <c r="M803" t="s">
        <v>1573</v>
      </c>
      <c r="N803" t="str">
        <f>"248030501824"</f>
        <v>248030501824</v>
      </c>
      <c r="O803" t="str">
        <f>"460034199510274723"</f>
        <v>460034199510274723</v>
      </c>
    </row>
    <row r="804" customFormat="1" spans="1:15">
      <c r="A804">
        <v>1157</v>
      </c>
      <c r="B804" t="s">
        <v>1574</v>
      </c>
      <c r="C804" t="str">
        <f>"460031199901145225"</f>
        <v>460031199901145225</v>
      </c>
      <c r="D804" t="str">
        <f>"248030102312"</f>
        <v>248030102312</v>
      </c>
      <c r="L804">
        <v>1157</v>
      </c>
      <c r="M804" t="s">
        <v>1574</v>
      </c>
      <c r="N804" t="str">
        <f>"248030102312"</f>
        <v>248030102312</v>
      </c>
      <c r="O804" t="str">
        <f>"460031199901145225"</f>
        <v>460031199901145225</v>
      </c>
    </row>
    <row r="805" customFormat="1" spans="1:15">
      <c r="A805">
        <v>1158</v>
      </c>
      <c r="B805" t="s">
        <v>1575</v>
      </c>
      <c r="C805" t="str">
        <f>"460006199603184414"</f>
        <v>460006199603184414</v>
      </c>
      <c r="D805" t="str">
        <f>"248030300103"</f>
        <v>248030300103</v>
      </c>
      <c r="L805">
        <v>1158</v>
      </c>
      <c r="M805" t="s">
        <v>1575</v>
      </c>
      <c r="N805" t="str">
        <f>"248030300103"</f>
        <v>248030300103</v>
      </c>
      <c r="O805" t="str">
        <f>"460006199603184414"</f>
        <v>460006199603184414</v>
      </c>
    </row>
    <row r="806" customFormat="1" spans="1:15">
      <c r="A806">
        <v>1159</v>
      </c>
      <c r="B806" t="s">
        <v>1576</v>
      </c>
      <c r="C806" t="str">
        <f>"460300200007240014"</f>
        <v>460300200007240014</v>
      </c>
      <c r="D806" t="str">
        <f>"248030102119"</f>
        <v>248030102119</v>
      </c>
      <c r="L806">
        <v>1159</v>
      </c>
      <c r="M806" t="s">
        <v>1576</v>
      </c>
      <c r="N806" t="str">
        <f>"248030102119"</f>
        <v>248030102119</v>
      </c>
      <c r="O806" t="str">
        <f>"460300200007240014"</f>
        <v>460300200007240014</v>
      </c>
    </row>
    <row r="807" customFormat="1" spans="1:15">
      <c r="A807">
        <v>1160</v>
      </c>
      <c r="B807" t="s">
        <v>1577</v>
      </c>
      <c r="C807" t="str">
        <f>"220421199810314921"</f>
        <v>220421199810314921</v>
      </c>
      <c r="D807" t="str">
        <f>"248030401024"</f>
        <v>248030401024</v>
      </c>
      <c r="L807">
        <v>1160</v>
      </c>
      <c r="M807" t="s">
        <v>1577</v>
      </c>
      <c r="N807" t="str">
        <f>"248030401024"</f>
        <v>248030401024</v>
      </c>
      <c r="O807" t="str">
        <f>"220421199810314921"</f>
        <v>220421199810314921</v>
      </c>
    </row>
    <row r="808" customFormat="1" spans="1:15">
      <c r="A808">
        <v>1161</v>
      </c>
      <c r="B808" t="s">
        <v>1578</v>
      </c>
      <c r="C808" t="str">
        <f>"460003199312264247"</f>
        <v>460003199312264247</v>
      </c>
      <c r="D808" t="str">
        <f>"248030104623"</f>
        <v>248030104623</v>
      </c>
      <c r="L808">
        <v>1161</v>
      </c>
      <c r="M808" t="s">
        <v>1578</v>
      </c>
      <c r="N808" t="str">
        <f>"248030104623"</f>
        <v>248030104623</v>
      </c>
      <c r="O808" t="str">
        <f>"460003199312264247"</f>
        <v>460003199312264247</v>
      </c>
    </row>
    <row r="809" customFormat="1" spans="1:15">
      <c r="A809">
        <v>1162</v>
      </c>
      <c r="B809" t="s">
        <v>1579</v>
      </c>
      <c r="C809" t="str">
        <f>"46000319960312405X"</f>
        <v>46000319960312405X</v>
      </c>
      <c r="D809" t="str">
        <f>"248030201424"</f>
        <v>248030201424</v>
      </c>
      <c r="L809">
        <v>1162</v>
      </c>
      <c r="M809" t="s">
        <v>1579</v>
      </c>
      <c r="N809" t="str">
        <f>"248030201424"</f>
        <v>248030201424</v>
      </c>
      <c r="O809" t="str">
        <f>"46000319960312405X"</f>
        <v>46000319960312405X</v>
      </c>
    </row>
    <row r="810" customFormat="1" spans="1:15">
      <c r="A810">
        <v>1164</v>
      </c>
      <c r="B810" t="s">
        <v>1580</v>
      </c>
      <c r="C810" t="str">
        <f>"372323199805283317"</f>
        <v>372323199805283317</v>
      </c>
      <c r="D810" t="str">
        <f>"248030201923"</f>
        <v>248030201923</v>
      </c>
      <c r="L810">
        <v>1164</v>
      </c>
      <c r="M810" t="s">
        <v>1580</v>
      </c>
      <c r="N810" t="str">
        <f>"248030201923"</f>
        <v>248030201923</v>
      </c>
      <c r="O810" t="str">
        <f>"372323199805283317"</f>
        <v>372323199805283317</v>
      </c>
    </row>
    <row r="811" customFormat="1" spans="1:15">
      <c r="A811">
        <v>1165</v>
      </c>
      <c r="B811" t="s">
        <v>1581</v>
      </c>
      <c r="C811" t="str">
        <f>"460033199806204509"</f>
        <v>460033199806204509</v>
      </c>
      <c r="D811" t="str">
        <f>"248030302302"</f>
        <v>248030302302</v>
      </c>
      <c r="L811">
        <v>1165</v>
      </c>
      <c r="M811" t="s">
        <v>1581</v>
      </c>
      <c r="N811" t="str">
        <f>"248030302302"</f>
        <v>248030302302</v>
      </c>
      <c r="O811" t="str">
        <f>"460033199806204509"</f>
        <v>460033199806204509</v>
      </c>
    </row>
    <row r="812" customFormat="1" spans="1:15">
      <c r="A812">
        <v>1166</v>
      </c>
      <c r="B812" t="s">
        <v>1582</v>
      </c>
      <c r="C812" t="str">
        <f>"46000319971029402X"</f>
        <v>46000319971029402X</v>
      </c>
      <c r="L812">
        <v>1166</v>
      </c>
      <c r="M812" t="s">
        <v>1582</v>
      </c>
      <c r="O812" t="str">
        <f>"46000319971029402X"</f>
        <v>46000319971029402X</v>
      </c>
    </row>
    <row r="813" customFormat="1" spans="1:15">
      <c r="A813">
        <v>1167</v>
      </c>
      <c r="B813" t="s">
        <v>1583</v>
      </c>
      <c r="C813" t="str">
        <f>"460007199403027242"</f>
        <v>460007199403027242</v>
      </c>
      <c r="D813" t="str">
        <f>"248030200107"</f>
        <v>248030200107</v>
      </c>
      <c r="L813">
        <v>1167</v>
      </c>
      <c r="M813" t="s">
        <v>1583</v>
      </c>
      <c r="N813" t="str">
        <f>"248030200107"</f>
        <v>248030200107</v>
      </c>
      <c r="O813" t="str">
        <f>"460007199403027242"</f>
        <v>460007199403027242</v>
      </c>
    </row>
    <row r="814" customFormat="1" spans="1:15">
      <c r="A814">
        <v>1168</v>
      </c>
      <c r="B814" t="s">
        <v>1584</v>
      </c>
      <c r="C814" t="str">
        <f>"46000319991009142X"</f>
        <v>46000319991009142X</v>
      </c>
      <c r="D814" t="str">
        <f>"248030101108"</f>
        <v>248030101108</v>
      </c>
      <c r="L814">
        <v>1168</v>
      </c>
      <c r="M814" t="s">
        <v>1584</v>
      </c>
      <c r="N814" t="str">
        <f>"248030101108"</f>
        <v>248030101108</v>
      </c>
      <c r="O814" t="str">
        <f>"46000319991009142X"</f>
        <v>46000319991009142X</v>
      </c>
    </row>
    <row r="815" customFormat="1" spans="1:15">
      <c r="A815">
        <v>1169</v>
      </c>
      <c r="B815" t="s">
        <v>1585</v>
      </c>
      <c r="C815" t="str">
        <f>"460103199906121513"</f>
        <v>460103199906121513</v>
      </c>
      <c r="D815" t="str">
        <f>"248030401920"</f>
        <v>248030401920</v>
      </c>
      <c r="L815">
        <v>1169</v>
      </c>
      <c r="M815" t="s">
        <v>1585</v>
      </c>
      <c r="N815" t="str">
        <f>"248030401920"</f>
        <v>248030401920</v>
      </c>
      <c r="O815" t="str">
        <f>"460103199906121513"</f>
        <v>460103199906121513</v>
      </c>
    </row>
    <row r="816" customFormat="1" spans="1:15">
      <c r="A816">
        <v>1170</v>
      </c>
      <c r="B816" t="s">
        <v>1586</v>
      </c>
      <c r="C816" t="str">
        <f>"460033199508134485"</f>
        <v>460033199508134485</v>
      </c>
      <c r="D816" t="str">
        <f>"248030302113"</f>
        <v>248030302113</v>
      </c>
      <c r="L816">
        <v>1170</v>
      </c>
      <c r="M816" t="s">
        <v>1586</v>
      </c>
      <c r="N816" t="str">
        <f>"248030302113"</f>
        <v>248030302113</v>
      </c>
      <c r="O816" t="str">
        <f>"460033199508134485"</f>
        <v>460033199508134485</v>
      </c>
    </row>
    <row r="817" customFormat="1" spans="1:15">
      <c r="A817">
        <v>1171</v>
      </c>
      <c r="B817" t="s">
        <v>1587</v>
      </c>
      <c r="C817" t="str">
        <f>"460026200006154824"</f>
        <v>460026200006154824</v>
      </c>
      <c r="D817" t="str">
        <f>"248030100825"</f>
        <v>248030100825</v>
      </c>
      <c r="L817">
        <v>1171</v>
      </c>
      <c r="M817" t="s">
        <v>1587</v>
      </c>
      <c r="N817" t="str">
        <f>"248030100825"</f>
        <v>248030100825</v>
      </c>
      <c r="O817" t="str">
        <f>"460026200006154824"</f>
        <v>460026200006154824</v>
      </c>
    </row>
    <row r="818" customFormat="1" spans="1:15">
      <c r="A818">
        <v>1173</v>
      </c>
      <c r="B818" t="s">
        <v>1588</v>
      </c>
      <c r="C818" t="str">
        <f>"460007199703287249"</f>
        <v>460007199703287249</v>
      </c>
      <c r="D818" t="str">
        <f>"248030302213"</f>
        <v>248030302213</v>
      </c>
      <c r="L818">
        <v>1173</v>
      </c>
      <c r="M818" t="s">
        <v>1588</v>
      </c>
      <c r="N818" t="str">
        <f>"248030302213"</f>
        <v>248030302213</v>
      </c>
      <c r="O818" t="str">
        <f>"460007199703287249"</f>
        <v>460007199703287249</v>
      </c>
    </row>
    <row r="819" customFormat="1" spans="1:15">
      <c r="A819">
        <v>1174</v>
      </c>
      <c r="B819" t="s">
        <v>1589</v>
      </c>
      <c r="C819" t="str">
        <f>"460007199805300424"</f>
        <v>460007199805300424</v>
      </c>
      <c r="D819" t="str">
        <f>"248030500729"</f>
        <v>248030500729</v>
      </c>
      <c r="L819">
        <v>1174</v>
      </c>
      <c r="M819" t="s">
        <v>1589</v>
      </c>
      <c r="N819" t="str">
        <f>"248030500729"</f>
        <v>248030500729</v>
      </c>
      <c r="O819" t="str">
        <f>"460007199805300424"</f>
        <v>460007199805300424</v>
      </c>
    </row>
    <row r="820" customFormat="1" spans="1:15">
      <c r="A820">
        <v>1177</v>
      </c>
      <c r="B820" t="s">
        <v>1590</v>
      </c>
      <c r="C820" t="str">
        <f>"460102200205076026"</f>
        <v>460102200205076026</v>
      </c>
      <c r="D820" t="str">
        <f>"248030401922"</f>
        <v>248030401922</v>
      </c>
      <c r="L820">
        <v>1177</v>
      </c>
      <c r="M820" t="s">
        <v>1590</v>
      </c>
      <c r="N820" t="str">
        <f>"248030401922"</f>
        <v>248030401922</v>
      </c>
      <c r="O820" t="str">
        <f>"460102200205076026"</f>
        <v>460102200205076026</v>
      </c>
    </row>
    <row r="821" customFormat="1" spans="1:15">
      <c r="A821">
        <v>1178</v>
      </c>
      <c r="B821" t="s">
        <v>1591</v>
      </c>
      <c r="C821" t="str">
        <f>"46002719990629791X"</f>
        <v>46002719990629791X</v>
      </c>
      <c r="D821" t="str">
        <f>"248030202217"</f>
        <v>248030202217</v>
      </c>
      <c r="L821">
        <v>1178</v>
      </c>
      <c r="M821" t="s">
        <v>1591</v>
      </c>
      <c r="N821" t="str">
        <f>"248030202217"</f>
        <v>248030202217</v>
      </c>
      <c r="O821" t="str">
        <f>"46002719990629791X"</f>
        <v>46002719990629791X</v>
      </c>
    </row>
    <row r="822" customFormat="1" spans="1:15">
      <c r="A822">
        <v>1179</v>
      </c>
      <c r="B822" t="s">
        <v>1592</v>
      </c>
      <c r="C822" t="str">
        <f>"460001200012220720"</f>
        <v>460001200012220720</v>
      </c>
      <c r="D822" t="str">
        <f>"248030301516"</f>
        <v>248030301516</v>
      </c>
      <c r="L822">
        <v>1179</v>
      </c>
      <c r="M822" t="s">
        <v>1592</v>
      </c>
      <c r="N822" t="str">
        <f>"248030301516"</f>
        <v>248030301516</v>
      </c>
      <c r="O822" t="str">
        <f>"460001200012220720"</f>
        <v>460001200012220720</v>
      </c>
    </row>
    <row r="823" customFormat="1" spans="1:15">
      <c r="A823">
        <v>1180</v>
      </c>
      <c r="B823" t="s">
        <v>1593</v>
      </c>
      <c r="C823" t="str">
        <f>"230882199511170987"</f>
        <v>230882199511170987</v>
      </c>
      <c r="D823" t="str">
        <f>"248030402927"</f>
        <v>248030402927</v>
      </c>
      <c r="L823">
        <v>1180</v>
      </c>
      <c r="M823" t="s">
        <v>1593</v>
      </c>
      <c r="N823" t="str">
        <f>"248030402927"</f>
        <v>248030402927</v>
      </c>
      <c r="O823" t="str">
        <f>"230882199511170987"</f>
        <v>230882199511170987</v>
      </c>
    </row>
    <row r="824" customFormat="1" spans="1:15">
      <c r="A824">
        <v>1182</v>
      </c>
      <c r="B824" t="s">
        <v>1594</v>
      </c>
      <c r="C824" t="str">
        <f>"460003199011244242"</f>
        <v>460003199011244242</v>
      </c>
      <c r="D824" t="str">
        <f>"248030403329"</f>
        <v>248030403329</v>
      </c>
      <c r="L824">
        <v>1182</v>
      </c>
      <c r="M824" t="s">
        <v>1594</v>
      </c>
      <c r="N824" t="str">
        <f>"248030403329"</f>
        <v>248030403329</v>
      </c>
      <c r="O824" t="str">
        <f>"460003199011244242"</f>
        <v>460003199011244242</v>
      </c>
    </row>
    <row r="825" customFormat="1" spans="1:15">
      <c r="A825">
        <v>1183</v>
      </c>
      <c r="B825" t="s">
        <v>1595</v>
      </c>
      <c r="C825" t="str">
        <f>"410103198907040148"</f>
        <v>410103198907040148</v>
      </c>
      <c r="D825" t="str">
        <f>"248030203417"</f>
        <v>248030203417</v>
      </c>
      <c r="L825">
        <v>1183</v>
      </c>
      <c r="M825" t="s">
        <v>1595</v>
      </c>
      <c r="N825" t="str">
        <f>"248030203417"</f>
        <v>248030203417</v>
      </c>
      <c r="O825" t="str">
        <f>"410103198907040148"</f>
        <v>410103198907040148</v>
      </c>
    </row>
    <row r="826" customFormat="1" spans="1:15">
      <c r="A826">
        <v>1184</v>
      </c>
      <c r="B826" t="s">
        <v>1596</v>
      </c>
      <c r="C826" t="str">
        <f>"460004199711071422"</f>
        <v>460004199711071422</v>
      </c>
      <c r="L826">
        <v>1184</v>
      </c>
      <c r="M826" t="s">
        <v>1596</v>
      </c>
      <c r="O826" t="str">
        <f>"460004199711071422"</f>
        <v>460004199711071422</v>
      </c>
    </row>
    <row r="827" customFormat="1" spans="1:15">
      <c r="A827">
        <v>1185</v>
      </c>
      <c r="B827" t="s">
        <v>1109</v>
      </c>
      <c r="C827" t="str">
        <f>"370882199508055225"</f>
        <v>370882199508055225</v>
      </c>
      <c r="L827">
        <v>1185</v>
      </c>
      <c r="M827" t="s">
        <v>1109</v>
      </c>
      <c r="O827" t="str">
        <f>"370882199508055225"</f>
        <v>370882199508055225</v>
      </c>
    </row>
    <row r="828" customFormat="1" spans="1:15">
      <c r="A828">
        <v>1187</v>
      </c>
      <c r="B828" t="s">
        <v>1597</v>
      </c>
      <c r="C828" t="str">
        <f>"460006199809288729"</f>
        <v>460006199809288729</v>
      </c>
      <c r="D828" t="str">
        <f>"248030301205"</f>
        <v>248030301205</v>
      </c>
      <c r="L828">
        <v>1187</v>
      </c>
      <c r="M828" t="s">
        <v>1597</v>
      </c>
      <c r="N828" t="str">
        <f>"248030301205"</f>
        <v>248030301205</v>
      </c>
      <c r="O828" t="str">
        <f>"460006199809288729"</f>
        <v>460006199809288729</v>
      </c>
    </row>
    <row r="829" customFormat="1" spans="1:15">
      <c r="A829">
        <v>1188</v>
      </c>
      <c r="B829" t="s">
        <v>1598</v>
      </c>
      <c r="C829" t="str">
        <f>"460300199810190022"</f>
        <v>460300199810190022</v>
      </c>
      <c r="D829" t="str">
        <f>"248030403016"</f>
        <v>248030403016</v>
      </c>
      <c r="L829">
        <v>1188</v>
      </c>
      <c r="M829" t="s">
        <v>1598</v>
      </c>
      <c r="N829" t="str">
        <f>"248030403016"</f>
        <v>248030403016</v>
      </c>
      <c r="O829" t="str">
        <f>"460300199810190022"</f>
        <v>460300199810190022</v>
      </c>
    </row>
    <row r="830" customFormat="1" spans="1:15">
      <c r="A830">
        <v>1191</v>
      </c>
      <c r="B830" t="s">
        <v>1599</v>
      </c>
      <c r="C830" t="str">
        <f>"460006199905222324"</f>
        <v>460006199905222324</v>
      </c>
      <c r="D830" t="str">
        <f>"248030203604"</f>
        <v>248030203604</v>
      </c>
      <c r="L830">
        <v>1191</v>
      </c>
      <c r="M830" t="s">
        <v>1599</v>
      </c>
      <c r="N830" t="str">
        <f>"248030203604"</f>
        <v>248030203604</v>
      </c>
      <c r="O830" t="str">
        <f>"460006199905222324"</f>
        <v>460006199905222324</v>
      </c>
    </row>
    <row r="831" customFormat="1" spans="1:15">
      <c r="A831">
        <v>1192</v>
      </c>
      <c r="B831" t="s">
        <v>1600</v>
      </c>
      <c r="C831" t="str">
        <f>"150105200001087328"</f>
        <v>150105200001087328</v>
      </c>
      <c r="D831" t="str">
        <f>"248030504024"</f>
        <v>248030504024</v>
      </c>
      <c r="L831">
        <v>1192</v>
      </c>
      <c r="M831" t="s">
        <v>1600</v>
      </c>
      <c r="N831" t="str">
        <f>"248030504024"</f>
        <v>248030504024</v>
      </c>
      <c r="O831" t="str">
        <f>"150105200001087328"</f>
        <v>150105200001087328</v>
      </c>
    </row>
    <row r="832" customFormat="1" spans="1:15">
      <c r="A832">
        <v>1194</v>
      </c>
      <c r="B832" t="s">
        <v>1601</v>
      </c>
      <c r="C832" t="str">
        <f>"232722199608291515"</f>
        <v>232722199608291515</v>
      </c>
      <c r="D832" t="str">
        <f>"248030203003"</f>
        <v>248030203003</v>
      </c>
      <c r="L832">
        <v>1194</v>
      </c>
      <c r="M832" t="s">
        <v>1601</v>
      </c>
      <c r="N832" t="str">
        <f>"248030203003"</f>
        <v>248030203003</v>
      </c>
      <c r="O832" t="str">
        <f>"232722199608291515"</f>
        <v>232722199608291515</v>
      </c>
    </row>
    <row r="833" customFormat="1" spans="1:15">
      <c r="A833">
        <v>1195</v>
      </c>
      <c r="B833" t="s">
        <v>1602</v>
      </c>
      <c r="C833" t="str">
        <f>"460003199911117687"</f>
        <v>460003199911117687</v>
      </c>
      <c r="L833">
        <v>1195</v>
      </c>
      <c r="M833" t="s">
        <v>1602</v>
      </c>
      <c r="O833" t="str">
        <f>"460003199911117687"</f>
        <v>460003199911117687</v>
      </c>
    </row>
    <row r="834" customFormat="1" spans="1:15">
      <c r="A834">
        <v>1196</v>
      </c>
      <c r="B834" t="s">
        <v>1603</v>
      </c>
      <c r="C834" t="str">
        <f>"460027200001312025"</f>
        <v>460027200001312025</v>
      </c>
      <c r="D834" t="str">
        <f>"248030300128"</f>
        <v>248030300128</v>
      </c>
      <c r="L834">
        <v>1196</v>
      </c>
      <c r="M834" t="s">
        <v>1603</v>
      </c>
      <c r="N834" t="str">
        <f>"248030300128"</f>
        <v>248030300128</v>
      </c>
      <c r="O834" t="str">
        <f>"460027200001312025"</f>
        <v>460027200001312025</v>
      </c>
    </row>
    <row r="835" customFormat="1" spans="1:15">
      <c r="A835">
        <v>1198</v>
      </c>
      <c r="B835" t="s">
        <v>1604</v>
      </c>
      <c r="C835" t="str">
        <f>"460030199608151814"</f>
        <v>460030199608151814</v>
      </c>
      <c r="D835" t="str">
        <f>"248030300516"</f>
        <v>248030300516</v>
      </c>
      <c r="L835">
        <v>1198</v>
      </c>
      <c r="M835" t="s">
        <v>1604</v>
      </c>
      <c r="N835" t="str">
        <f>"248030300516"</f>
        <v>248030300516</v>
      </c>
      <c r="O835" t="str">
        <f>"460030199608151814"</f>
        <v>460030199608151814</v>
      </c>
    </row>
    <row r="836" customFormat="1" spans="1:15">
      <c r="A836">
        <v>1199</v>
      </c>
      <c r="B836" t="s">
        <v>1605</v>
      </c>
      <c r="C836" t="str">
        <f>"460003200212097029"</f>
        <v>460003200212097029</v>
      </c>
      <c r="L836">
        <v>1199</v>
      </c>
      <c r="M836" t="s">
        <v>1605</v>
      </c>
      <c r="O836" t="str">
        <f>"460003200212097029"</f>
        <v>460003200212097029</v>
      </c>
    </row>
    <row r="837" customFormat="1" spans="1:15">
      <c r="A837">
        <v>1200</v>
      </c>
      <c r="B837" t="s">
        <v>1606</v>
      </c>
      <c r="C837" t="str">
        <f>"469003200201055622"</f>
        <v>469003200201055622</v>
      </c>
      <c r="D837" t="str">
        <f>"248030500701"</f>
        <v>248030500701</v>
      </c>
      <c r="L837">
        <v>1200</v>
      </c>
      <c r="M837" t="s">
        <v>1606</v>
      </c>
      <c r="N837" t="str">
        <f>"248030500701"</f>
        <v>248030500701</v>
      </c>
      <c r="O837" t="str">
        <f>"469003200201055622"</f>
        <v>469003200201055622</v>
      </c>
    </row>
    <row r="838" customFormat="1" spans="1:15">
      <c r="A838">
        <v>1201</v>
      </c>
      <c r="B838" t="s">
        <v>1607</v>
      </c>
      <c r="C838" t="str">
        <f>"460033199902203282"</f>
        <v>460033199902203282</v>
      </c>
      <c r="D838" t="str">
        <f>"248030104001"</f>
        <v>248030104001</v>
      </c>
      <c r="L838">
        <v>1201</v>
      </c>
      <c r="M838" t="s">
        <v>1607</v>
      </c>
      <c r="N838" t="str">
        <f>"248030104001"</f>
        <v>248030104001</v>
      </c>
      <c r="O838" t="str">
        <f>"460033199902203282"</f>
        <v>460033199902203282</v>
      </c>
    </row>
    <row r="839" customFormat="1" spans="1:15">
      <c r="A839">
        <v>1202</v>
      </c>
      <c r="B839" t="s">
        <v>1608</v>
      </c>
      <c r="C839" t="str">
        <f>"460004199609260235"</f>
        <v>460004199609260235</v>
      </c>
      <c r="L839">
        <v>1202</v>
      </c>
      <c r="M839" t="s">
        <v>1608</v>
      </c>
      <c r="O839" t="str">
        <f>"460004199609260235"</f>
        <v>460004199609260235</v>
      </c>
    </row>
    <row r="840" customFormat="1" spans="1:15">
      <c r="A840">
        <v>1203</v>
      </c>
      <c r="B840" t="s">
        <v>1609</v>
      </c>
      <c r="C840" t="str">
        <f>"460003199103140029"</f>
        <v>460003199103140029</v>
      </c>
      <c r="D840" t="str">
        <f>"248030103626"</f>
        <v>248030103626</v>
      </c>
      <c r="L840">
        <v>1203</v>
      </c>
      <c r="M840" t="s">
        <v>1609</v>
      </c>
      <c r="N840" t="str">
        <f>"248030103626"</f>
        <v>248030103626</v>
      </c>
      <c r="O840" t="str">
        <f>"460003199103140029"</f>
        <v>460003199103140029</v>
      </c>
    </row>
    <row r="841" customFormat="1" spans="1:15">
      <c r="A841">
        <v>1204</v>
      </c>
      <c r="B841" t="s">
        <v>1610</v>
      </c>
      <c r="C841" t="str">
        <f>"460025199309150028"</f>
        <v>460025199309150028</v>
      </c>
      <c r="D841" t="str">
        <f>"248030504205"</f>
        <v>248030504205</v>
      </c>
      <c r="L841">
        <v>1204</v>
      </c>
      <c r="M841" t="s">
        <v>1610</v>
      </c>
      <c r="N841" t="str">
        <f>"248030504205"</f>
        <v>248030504205</v>
      </c>
      <c r="O841" t="str">
        <f>"460025199309150028"</f>
        <v>460025199309150028</v>
      </c>
    </row>
    <row r="842" customFormat="1" spans="1:15">
      <c r="A842">
        <v>1205</v>
      </c>
      <c r="B842" t="s">
        <v>1611</v>
      </c>
      <c r="C842" t="str">
        <f>"460027199705230620"</f>
        <v>460027199705230620</v>
      </c>
      <c r="D842" t="str">
        <f>"248030203211"</f>
        <v>248030203211</v>
      </c>
      <c r="L842">
        <v>1205</v>
      </c>
      <c r="M842" t="s">
        <v>1611</v>
      </c>
      <c r="N842" t="str">
        <f>"248030203211"</f>
        <v>248030203211</v>
      </c>
      <c r="O842" t="str">
        <f>"460027199705230620"</f>
        <v>460027199705230620</v>
      </c>
    </row>
    <row r="843" customFormat="1" spans="1:15">
      <c r="A843">
        <v>1206</v>
      </c>
      <c r="B843" t="s">
        <v>1612</v>
      </c>
      <c r="C843" t="str">
        <f>"460004199708110240"</f>
        <v>460004199708110240</v>
      </c>
      <c r="D843" t="str">
        <f>"248030104620"</f>
        <v>248030104620</v>
      </c>
      <c r="L843">
        <v>1206</v>
      </c>
      <c r="M843" t="s">
        <v>1612</v>
      </c>
      <c r="N843" t="str">
        <f>"248030104620"</f>
        <v>248030104620</v>
      </c>
      <c r="O843" t="str">
        <f>"460004199708110240"</f>
        <v>460004199708110240</v>
      </c>
    </row>
    <row r="844" customFormat="1" spans="1:15">
      <c r="A844">
        <v>1207</v>
      </c>
      <c r="B844" t="s">
        <v>185</v>
      </c>
      <c r="C844" t="str">
        <f>"460107200004252320"</f>
        <v>460107200004252320</v>
      </c>
      <c r="D844" t="str">
        <f>"248030102918"</f>
        <v>248030102918</v>
      </c>
      <c r="L844">
        <v>1207</v>
      </c>
      <c r="M844" t="s">
        <v>185</v>
      </c>
      <c r="N844" t="str">
        <f>"248030102918"</f>
        <v>248030102918</v>
      </c>
      <c r="O844" t="str">
        <f>"460107200004252320"</f>
        <v>460107200004252320</v>
      </c>
    </row>
    <row r="845" customFormat="1" spans="1:15">
      <c r="A845">
        <v>1208</v>
      </c>
      <c r="B845" t="s">
        <v>1613</v>
      </c>
      <c r="C845" t="str">
        <f>"460033199604294489"</f>
        <v>460033199604294489</v>
      </c>
      <c r="D845" t="str">
        <f>"248030104801"</f>
        <v>248030104801</v>
      </c>
      <c r="L845">
        <v>1208</v>
      </c>
      <c r="M845" t="s">
        <v>1613</v>
      </c>
      <c r="N845" t="str">
        <f>"248030104801"</f>
        <v>248030104801</v>
      </c>
      <c r="O845" t="str">
        <f>"460033199604294489"</f>
        <v>460033199604294489</v>
      </c>
    </row>
    <row r="846" customFormat="1" spans="1:15">
      <c r="A846">
        <v>1209</v>
      </c>
      <c r="B846" t="s">
        <v>1614</v>
      </c>
      <c r="C846" t="str">
        <f>"460033199501194485"</f>
        <v>460033199501194485</v>
      </c>
      <c r="D846" t="str">
        <f>"248030401417"</f>
        <v>248030401417</v>
      </c>
      <c r="L846">
        <v>1209</v>
      </c>
      <c r="M846" t="s">
        <v>1614</v>
      </c>
      <c r="N846" t="str">
        <f>"248030401417"</f>
        <v>248030401417</v>
      </c>
      <c r="O846" t="str">
        <f>"460033199501194485"</f>
        <v>460033199501194485</v>
      </c>
    </row>
    <row r="847" customFormat="1" spans="1:15">
      <c r="A847">
        <v>1210</v>
      </c>
      <c r="B847" t="s">
        <v>1615</v>
      </c>
      <c r="C847" t="str">
        <f>"460033199908054820"</f>
        <v>460033199908054820</v>
      </c>
      <c r="L847">
        <v>1210</v>
      </c>
      <c r="M847" t="s">
        <v>1615</v>
      </c>
      <c r="O847" t="str">
        <f>"460033199908054820"</f>
        <v>460033199908054820</v>
      </c>
    </row>
    <row r="848" customFormat="1" spans="1:15">
      <c r="A848">
        <v>1213</v>
      </c>
      <c r="B848" t="s">
        <v>474</v>
      </c>
      <c r="C848" t="str">
        <f>"412801199912120611"</f>
        <v>412801199912120611</v>
      </c>
      <c r="D848" t="str">
        <f>"248030201312"</f>
        <v>248030201312</v>
      </c>
      <c r="L848">
        <v>1213</v>
      </c>
      <c r="M848" t="s">
        <v>474</v>
      </c>
      <c r="N848" t="str">
        <f>"248030201312"</f>
        <v>248030201312</v>
      </c>
      <c r="O848" t="str">
        <f>"412801199912120611"</f>
        <v>412801199912120611</v>
      </c>
    </row>
    <row r="849" customFormat="1" spans="1:15">
      <c r="A849">
        <v>1214</v>
      </c>
      <c r="B849" t="s">
        <v>1616</v>
      </c>
      <c r="C849" t="str">
        <f>"460003199902067024"</f>
        <v>460003199902067024</v>
      </c>
      <c r="D849" t="str">
        <f>"248030302123"</f>
        <v>248030302123</v>
      </c>
      <c r="L849">
        <v>1214</v>
      </c>
      <c r="M849" t="s">
        <v>1616</v>
      </c>
      <c r="N849" t="str">
        <f>"248030302123"</f>
        <v>248030302123</v>
      </c>
      <c r="O849" t="str">
        <f>"460003199902067024"</f>
        <v>460003199902067024</v>
      </c>
    </row>
    <row r="850" customFormat="1" spans="1:15">
      <c r="A850">
        <v>1215</v>
      </c>
      <c r="B850" t="s">
        <v>1617</v>
      </c>
      <c r="C850" t="str">
        <f>"370405198911202521"</f>
        <v>370405198911202521</v>
      </c>
      <c r="L850">
        <v>1215</v>
      </c>
      <c r="M850" t="s">
        <v>1617</v>
      </c>
      <c r="O850" t="str">
        <f>"370405198911202521"</f>
        <v>370405198911202521</v>
      </c>
    </row>
    <row r="851" customFormat="1" spans="1:15">
      <c r="A851">
        <v>1216</v>
      </c>
      <c r="B851" t="s">
        <v>1618</v>
      </c>
      <c r="C851" t="str">
        <f>"460035199503030022"</f>
        <v>460035199503030022</v>
      </c>
      <c r="D851" t="str">
        <f>"248030503121"</f>
        <v>248030503121</v>
      </c>
      <c r="L851">
        <v>1216</v>
      </c>
      <c r="M851" t="s">
        <v>1618</v>
      </c>
      <c r="N851" t="str">
        <f>"248030503121"</f>
        <v>248030503121</v>
      </c>
      <c r="O851" t="str">
        <f>"460035199503030022"</f>
        <v>460035199503030022</v>
      </c>
    </row>
    <row r="852" customFormat="1" spans="1:15">
      <c r="A852">
        <v>1221</v>
      </c>
      <c r="B852" t="s">
        <v>1619</v>
      </c>
      <c r="C852" t="str">
        <f>"469003200012307325"</f>
        <v>469003200012307325</v>
      </c>
      <c r="D852" t="str">
        <f>"248030402507"</f>
        <v>248030402507</v>
      </c>
      <c r="L852">
        <v>1221</v>
      </c>
      <c r="M852" t="s">
        <v>1619</v>
      </c>
      <c r="N852" t="str">
        <f>"248030402507"</f>
        <v>248030402507</v>
      </c>
      <c r="O852" t="str">
        <f>"469003200012307325"</f>
        <v>469003200012307325</v>
      </c>
    </row>
    <row r="853" customFormat="1" spans="1:15">
      <c r="A853">
        <v>1222</v>
      </c>
      <c r="B853" t="s">
        <v>1620</v>
      </c>
      <c r="C853" t="str">
        <f>"460200199704194446"</f>
        <v>460200199704194446</v>
      </c>
      <c r="D853" t="str">
        <f>"248030100226"</f>
        <v>248030100226</v>
      </c>
      <c r="L853">
        <v>1222</v>
      </c>
      <c r="M853" t="s">
        <v>1620</v>
      </c>
      <c r="N853" t="str">
        <f>"248030100226"</f>
        <v>248030100226</v>
      </c>
      <c r="O853" t="str">
        <f>"460200199704194446"</f>
        <v>460200199704194446</v>
      </c>
    </row>
    <row r="854" customFormat="1" spans="1:15">
      <c r="A854">
        <v>1224</v>
      </c>
      <c r="B854" t="s">
        <v>1621</v>
      </c>
      <c r="C854" t="str">
        <f>"230822198910160021"</f>
        <v>230822198910160021</v>
      </c>
      <c r="L854">
        <v>1224</v>
      </c>
      <c r="M854" t="s">
        <v>1621</v>
      </c>
      <c r="O854" t="str">
        <f>"230822198910160021"</f>
        <v>230822198910160021</v>
      </c>
    </row>
    <row r="855" customFormat="1" spans="1:15">
      <c r="A855">
        <v>1225</v>
      </c>
      <c r="B855" t="s">
        <v>1622</v>
      </c>
      <c r="C855" t="str">
        <f>"460007200209100413"</f>
        <v>460007200209100413</v>
      </c>
      <c r="D855" t="str">
        <f>"248030200908"</f>
        <v>248030200908</v>
      </c>
      <c r="L855">
        <v>1225</v>
      </c>
      <c r="M855" t="s">
        <v>1622</v>
      </c>
      <c r="N855" t="str">
        <f>"248030200908"</f>
        <v>248030200908</v>
      </c>
      <c r="O855" t="str">
        <f>"460007200209100413"</f>
        <v>460007200209100413</v>
      </c>
    </row>
    <row r="856" customFormat="1" spans="1:15">
      <c r="A856">
        <v>1226</v>
      </c>
      <c r="B856" t="s">
        <v>1623</v>
      </c>
      <c r="C856" t="str">
        <f>"460027199903041724"</f>
        <v>460027199903041724</v>
      </c>
      <c r="L856">
        <v>1226</v>
      </c>
      <c r="M856" t="s">
        <v>1623</v>
      </c>
      <c r="O856" t="str">
        <f>"460027199903041724"</f>
        <v>460027199903041724</v>
      </c>
    </row>
    <row r="857" customFormat="1" spans="1:15">
      <c r="A857">
        <v>1229</v>
      </c>
      <c r="B857" t="s">
        <v>1624</v>
      </c>
      <c r="C857" t="str">
        <f>"460033199801073220"</f>
        <v>460033199801073220</v>
      </c>
      <c r="D857" t="str">
        <f>"248030403429"</f>
        <v>248030403429</v>
      </c>
      <c r="L857">
        <v>1229</v>
      </c>
      <c r="M857" t="s">
        <v>1624</v>
      </c>
      <c r="N857" t="str">
        <f>"248030403429"</f>
        <v>248030403429</v>
      </c>
      <c r="O857" t="str">
        <f>"460033199801073220"</f>
        <v>460033199801073220</v>
      </c>
    </row>
    <row r="858" customFormat="1" spans="1:15">
      <c r="A858">
        <v>1230</v>
      </c>
      <c r="B858" t="s">
        <v>1625</v>
      </c>
      <c r="C858" t="str">
        <f>"460003199605253023"</f>
        <v>460003199605253023</v>
      </c>
      <c r="D858" t="str">
        <f>"248030200530"</f>
        <v>248030200530</v>
      </c>
      <c r="L858">
        <v>1230</v>
      </c>
      <c r="M858" t="s">
        <v>1625</v>
      </c>
      <c r="N858" t="str">
        <f>"248030200530"</f>
        <v>248030200530</v>
      </c>
      <c r="O858" t="str">
        <f>"460003199605253023"</f>
        <v>460003199605253023</v>
      </c>
    </row>
    <row r="859" customFormat="1" spans="1:15">
      <c r="A859">
        <v>1231</v>
      </c>
      <c r="B859" t="s">
        <v>1626</v>
      </c>
      <c r="C859" t="str">
        <f>"420683200009090347"</f>
        <v>420683200009090347</v>
      </c>
      <c r="D859" t="str">
        <f>"248030101818"</f>
        <v>248030101818</v>
      </c>
      <c r="L859">
        <v>1231</v>
      </c>
      <c r="M859" t="s">
        <v>1626</v>
      </c>
      <c r="N859" t="str">
        <f>"248030101818"</f>
        <v>248030101818</v>
      </c>
      <c r="O859" t="str">
        <f>"420683200009090347"</f>
        <v>420683200009090347</v>
      </c>
    </row>
    <row r="860" customFormat="1" spans="1:15">
      <c r="A860">
        <v>1233</v>
      </c>
      <c r="B860" t="s">
        <v>1627</v>
      </c>
      <c r="C860" t="str">
        <f>"46000519990807122X"</f>
        <v>46000519990807122X</v>
      </c>
      <c r="D860" t="str">
        <f>"248030102427"</f>
        <v>248030102427</v>
      </c>
      <c r="L860">
        <v>1233</v>
      </c>
      <c r="M860" t="s">
        <v>1627</v>
      </c>
      <c r="N860" t="str">
        <f>"248030102427"</f>
        <v>248030102427</v>
      </c>
      <c r="O860" t="str">
        <f>"46000519990807122X"</f>
        <v>46000519990807122X</v>
      </c>
    </row>
    <row r="861" customFormat="1" spans="1:15">
      <c r="A861">
        <v>1234</v>
      </c>
      <c r="B861" t="s">
        <v>1628</v>
      </c>
      <c r="C861" t="str">
        <f>"460028199704061227"</f>
        <v>460028199704061227</v>
      </c>
      <c r="D861" t="str">
        <f>"248030501024"</f>
        <v>248030501024</v>
      </c>
      <c r="L861">
        <v>1234</v>
      </c>
      <c r="M861" t="s">
        <v>1628</v>
      </c>
      <c r="N861" t="str">
        <f>"248030501024"</f>
        <v>248030501024</v>
      </c>
      <c r="O861" t="str">
        <f>"460028199704061227"</f>
        <v>460028199704061227</v>
      </c>
    </row>
    <row r="862" customFormat="1" spans="1:15">
      <c r="A862">
        <v>1235</v>
      </c>
      <c r="B862" t="s">
        <v>811</v>
      </c>
      <c r="C862" t="str">
        <f>"460004199510194020"</f>
        <v>460004199510194020</v>
      </c>
      <c r="D862" t="str">
        <f>"248030300422"</f>
        <v>248030300422</v>
      </c>
      <c r="L862">
        <v>1235</v>
      </c>
      <c r="M862" t="s">
        <v>811</v>
      </c>
      <c r="N862" t="str">
        <f>"248030300422"</f>
        <v>248030300422</v>
      </c>
      <c r="O862" t="str">
        <f>"460004199510194020"</f>
        <v>460004199510194020</v>
      </c>
    </row>
    <row r="863" customFormat="1" spans="1:15">
      <c r="A863">
        <v>1237</v>
      </c>
      <c r="B863" t="s">
        <v>1629</v>
      </c>
      <c r="C863" t="str">
        <f>"460004200112304023"</f>
        <v>460004200112304023</v>
      </c>
      <c r="D863" t="str">
        <f>"248030401924"</f>
        <v>248030401924</v>
      </c>
      <c r="L863">
        <v>1237</v>
      </c>
      <c r="M863" t="s">
        <v>1629</v>
      </c>
      <c r="N863" t="str">
        <f>"248030401924"</f>
        <v>248030401924</v>
      </c>
      <c r="O863" t="str">
        <f>"460004200112304023"</f>
        <v>460004200112304023</v>
      </c>
    </row>
    <row r="864" customFormat="1" spans="1:15">
      <c r="A864">
        <v>1238</v>
      </c>
      <c r="B864" t="s">
        <v>1630</v>
      </c>
      <c r="C864" t="str">
        <f>"460002200104022218"</f>
        <v>460002200104022218</v>
      </c>
      <c r="D864" t="str">
        <f>"248030202125"</f>
        <v>248030202125</v>
      </c>
      <c r="L864">
        <v>1238</v>
      </c>
      <c r="M864" t="s">
        <v>1630</v>
      </c>
      <c r="N864" t="str">
        <f>"248030202125"</f>
        <v>248030202125</v>
      </c>
      <c r="O864" t="str">
        <f>"460002200104022218"</f>
        <v>460002200104022218</v>
      </c>
    </row>
    <row r="865" customFormat="1" spans="1:15">
      <c r="A865">
        <v>1240</v>
      </c>
      <c r="B865" t="s">
        <v>1631</v>
      </c>
      <c r="C865" t="str">
        <f>"460004199105203421"</f>
        <v>460004199105203421</v>
      </c>
      <c r="D865" t="str">
        <f>"248030300617"</f>
        <v>248030300617</v>
      </c>
      <c r="L865">
        <v>1240</v>
      </c>
      <c r="M865" t="s">
        <v>1631</v>
      </c>
      <c r="N865" t="str">
        <f>"248030300617"</f>
        <v>248030300617</v>
      </c>
      <c r="O865" t="str">
        <f>"460004199105203421"</f>
        <v>460004199105203421</v>
      </c>
    </row>
    <row r="866" customFormat="1" spans="1:15">
      <c r="A866">
        <v>1241</v>
      </c>
      <c r="B866" t="s">
        <v>1632</v>
      </c>
      <c r="C866" t="str">
        <f>"44128419960514523X"</f>
        <v>44128419960514523X</v>
      </c>
      <c r="D866" t="str">
        <f>"248030404219"</f>
        <v>248030404219</v>
      </c>
      <c r="L866">
        <v>1241</v>
      </c>
      <c r="M866" t="s">
        <v>1632</v>
      </c>
      <c r="N866" t="str">
        <f>"248030404219"</f>
        <v>248030404219</v>
      </c>
      <c r="O866" t="str">
        <f>"44128419960514523X"</f>
        <v>44128419960514523X</v>
      </c>
    </row>
    <row r="867" customFormat="1" spans="1:15">
      <c r="A867">
        <v>1244</v>
      </c>
      <c r="B867" t="s">
        <v>1633</v>
      </c>
      <c r="C867" t="str">
        <f>"469003199609198429"</f>
        <v>469003199609198429</v>
      </c>
      <c r="D867" t="str">
        <f>"248030103004"</f>
        <v>248030103004</v>
      </c>
      <c r="L867">
        <v>1244</v>
      </c>
      <c r="M867" t="s">
        <v>1633</v>
      </c>
      <c r="N867" t="str">
        <f>"248030103004"</f>
        <v>248030103004</v>
      </c>
      <c r="O867" t="str">
        <f>"469003199609198429"</f>
        <v>469003199609198429</v>
      </c>
    </row>
    <row r="868" customFormat="1" spans="1:15">
      <c r="A868">
        <v>1245</v>
      </c>
      <c r="B868" t="s">
        <v>1634</v>
      </c>
      <c r="C868" t="str">
        <f>"460027199911097023"</f>
        <v>460027199911097023</v>
      </c>
      <c r="D868" t="str">
        <f>"248030401510"</f>
        <v>248030401510</v>
      </c>
      <c r="L868">
        <v>1245</v>
      </c>
      <c r="M868" t="s">
        <v>1634</v>
      </c>
      <c r="N868" t="str">
        <f>"248030401510"</f>
        <v>248030401510</v>
      </c>
      <c r="O868" t="str">
        <f>"460027199911097023"</f>
        <v>460027199911097023</v>
      </c>
    </row>
    <row r="869" customFormat="1" spans="1:15">
      <c r="A869">
        <v>1246</v>
      </c>
      <c r="B869" t="s">
        <v>1635</v>
      </c>
      <c r="C869" t="str">
        <f>"46000619920529161X"</f>
        <v>46000619920529161X</v>
      </c>
      <c r="D869" t="str">
        <f>"248030201113"</f>
        <v>248030201113</v>
      </c>
      <c r="L869">
        <v>1246</v>
      </c>
      <c r="M869" t="s">
        <v>1635</v>
      </c>
      <c r="N869" t="str">
        <f>"248030201113"</f>
        <v>248030201113</v>
      </c>
      <c r="O869" t="str">
        <f>"46000619920529161X"</f>
        <v>46000619920529161X</v>
      </c>
    </row>
    <row r="870" customFormat="1" spans="1:15">
      <c r="A870">
        <v>1247</v>
      </c>
      <c r="B870" t="s">
        <v>1636</v>
      </c>
      <c r="C870" t="str">
        <f>"52213019960923122X"</f>
        <v>52213019960923122X</v>
      </c>
      <c r="D870" t="str">
        <f>"248030503126"</f>
        <v>248030503126</v>
      </c>
      <c r="L870">
        <v>1247</v>
      </c>
      <c r="M870" t="s">
        <v>1636</v>
      </c>
      <c r="N870" t="str">
        <f>"248030503126"</f>
        <v>248030503126</v>
      </c>
      <c r="O870" t="str">
        <f>"52213019960923122X"</f>
        <v>52213019960923122X</v>
      </c>
    </row>
    <row r="871" customFormat="1" spans="1:15">
      <c r="A871">
        <v>1248</v>
      </c>
      <c r="B871" t="s">
        <v>1637</v>
      </c>
      <c r="C871" t="str">
        <f>"460001199602131028"</f>
        <v>460001199602131028</v>
      </c>
      <c r="L871">
        <v>1248</v>
      </c>
      <c r="M871" t="s">
        <v>1637</v>
      </c>
      <c r="O871" t="str">
        <f>"460001199602131028"</f>
        <v>460001199602131028</v>
      </c>
    </row>
    <row r="872" customFormat="1" spans="1:15">
      <c r="A872">
        <v>1249</v>
      </c>
      <c r="B872" t="s">
        <v>1638</v>
      </c>
      <c r="C872" t="str">
        <f>"460025199809052125"</f>
        <v>460025199809052125</v>
      </c>
      <c r="D872" t="str">
        <f>"248030200602"</f>
        <v>248030200602</v>
      </c>
      <c r="L872">
        <v>1249</v>
      </c>
      <c r="M872" t="s">
        <v>1638</v>
      </c>
      <c r="N872" t="str">
        <f>"248030200602"</f>
        <v>248030200602</v>
      </c>
      <c r="O872" t="str">
        <f>"460025199809052125"</f>
        <v>460025199809052125</v>
      </c>
    </row>
    <row r="873" customFormat="1" spans="1:15">
      <c r="A873">
        <v>1250</v>
      </c>
      <c r="B873" t="s">
        <v>1639</v>
      </c>
      <c r="C873" t="str">
        <f>"370283199810246819"</f>
        <v>370283199810246819</v>
      </c>
      <c r="D873" t="str">
        <f>"248030202022"</f>
        <v>248030202022</v>
      </c>
      <c r="L873">
        <v>1250</v>
      </c>
      <c r="M873" t="s">
        <v>1639</v>
      </c>
      <c r="N873" t="str">
        <f>"248030202022"</f>
        <v>248030202022</v>
      </c>
      <c r="O873" t="str">
        <f>"370283199810246819"</f>
        <v>370283199810246819</v>
      </c>
    </row>
    <row r="874" customFormat="1" spans="1:15">
      <c r="A874">
        <v>1251</v>
      </c>
      <c r="B874" t="s">
        <v>1640</v>
      </c>
      <c r="C874" t="str">
        <f>"321324199803271423"</f>
        <v>321324199803271423</v>
      </c>
      <c r="D874" t="str">
        <f>"248030503815"</f>
        <v>248030503815</v>
      </c>
      <c r="L874">
        <v>1251</v>
      </c>
      <c r="M874" t="s">
        <v>1640</v>
      </c>
      <c r="N874" t="str">
        <f>"248030503815"</f>
        <v>248030503815</v>
      </c>
      <c r="O874" t="str">
        <f>"321324199803271423"</f>
        <v>321324199803271423</v>
      </c>
    </row>
    <row r="875" customFormat="1" spans="1:15">
      <c r="A875">
        <v>1252</v>
      </c>
      <c r="B875" t="s">
        <v>1641</v>
      </c>
      <c r="C875" t="str">
        <f>"411381199006070310"</f>
        <v>411381199006070310</v>
      </c>
      <c r="D875" t="str">
        <f>"248030300401"</f>
        <v>248030300401</v>
      </c>
      <c r="L875">
        <v>1252</v>
      </c>
      <c r="M875" t="s">
        <v>1641</v>
      </c>
      <c r="N875" t="str">
        <f>"248030300401"</f>
        <v>248030300401</v>
      </c>
      <c r="O875" t="str">
        <f>"411381199006070310"</f>
        <v>411381199006070310</v>
      </c>
    </row>
    <row r="876" customFormat="1" spans="1:15">
      <c r="A876">
        <v>1253</v>
      </c>
      <c r="B876" t="s">
        <v>1642</v>
      </c>
      <c r="C876" t="str">
        <f>"130229199905025813"</f>
        <v>130229199905025813</v>
      </c>
      <c r="D876" t="str">
        <f>"248030201315"</f>
        <v>248030201315</v>
      </c>
      <c r="L876">
        <v>1253</v>
      </c>
      <c r="M876" t="s">
        <v>1642</v>
      </c>
      <c r="N876" t="str">
        <f>"248030201315"</f>
        <v>248030201315</v>
      </c>
      <c r="O876" t="str">
        <f>"130229199905025813"</f>
        <v>130229199905025813</v>
      </c>
    </row>
    <row r="877" customFormat="1" spans="1:15">
      <c r="A877">
        <v>1255</v>
      </c>
      <c r="B877" t="s">
        <v>1643</v>
      </c>
      <c r="C877" t="str">
        <f>"46002719930520292X"</f>
        <v>46002719930520292X</v>
      </c>
      <c r="D877" t="str">
        <f>"248030401404"</f>
        <v>248030401404</v>
      </c>
      <c r="L877">
        <v>1255</v>
      </c>
      <c r="M877" t="s">
        <v>1643</v>
      </c>
      <c r="N877" t="str">
        <f>"248030401404"</f>
        <v>248030401404</v>
      </c>
      <c r="O877" t="str">
        <f>"46002719930520292X"</f>
        <v>46002719930520292X</v>
      </c>
    </row>
    <row r="878" customFormat="1" spans="1:15">
      <c r="A878">
        <v>1258</v>
      </c>
      <c r="B878" t="s">
        <v>1644</v>
      </c>
      <c r="C878" t="str">
        <f>"460200200201105128"</f>
        <v>460200200201105128</v>
      </c>
      <c r="D878" t="str">
        <f>"248030103620"</f>
        <v>248030103620</v>
      </c>
      <c r="L878">
        <v>1258</v>
      </c>
      <c r="M878" t="s">
        <v>1644</v>
      </c>
      <c r="N878" t="str">
        <f>"248030103620"</f>
        <v>248030103620</v>
      </c>
      <c r="O878" t="str">
        <f>"460200200201105128"</f>
        <v>460200200201105128</v>
      </c>
    </row>
    <row r="879" customFormat="1" spans="1:15">
      <c r="A879">
        <v>1259</v>
      </c>
      <c r="B879" t="s">
        <v>1645</v>
      </c>
      <c r="C879" t="str">
        <f>"46000320000624282X"</f>
        <v>46000320000624282X</v>
      </c>
      <c r="D879" t="str">
        <f>"248030501703"</f>
        <v>248030501703</v>
      </c>
      <c r="L879">
        <v>1259</v>
      </c>
      <c r="M879" t="s">
        <v>1645</v>
      </c>
      <c r="N879" t="str">
        <f>"248030501703"</f>
        <v>248030501703</v>
      </c>
      <c r="O879" t="str">
        <f>"46000320000624282X"</f>
        <v>46000320000624282X</v>
      </c>
    </row>
    <row r="880" customFormat="1" spans="1:15">
      <c r="A880">
        <v>1260</v>
      </c>
      <c r="B880" t="s">
        <v>1646</v>
      </c>
      <c r="C880" t="str">
        <f>"460028199506242465"</f>
        <v>460028199506242465</v>
      </c>
      <c r="D880" t="str">
        <f>"248030300403"</f>
        <v>248030300403</v>
      </c>
      <c r="L880">
        <v>1260</v>
      </c>
      <c r="M880" t="s">
        <v>1646</v>
      </c>
      <c r="N880" t="str">
        <f>"248030300403"</f>
        <v>248030300403</v>
      </c>
      <c r="O880" t="str">
        <f>"460028199506242465"</f>
        <v>460028199506242465</v>
      </c>
    </row>
    <row r="881" customFormat="1" spans="1:15">
      <c r="A881">
        <v>1261</v>
      </c>
      <c r="B881" t="s">
        <v>1647</v>
      </c>
      <c r="C881" t="str">
        <f>"460300199710110021"</f>
        <v>460300199710110021</v>
      </c>
      <c r="D881" t="str">
        <f>"248030105006"</f>
        <v>248030105006</v>
      </c>
      <c r="L881">
        <v>1261</v>
      </c>
      <c r="M881" t="s">
        <v>1647</v>
      </c>
      <c r="N881" t="str">
        <f>"248030105006"</f>
        <v>248030105006</v>
      </c>
      <c r="O881" t="str">
        <f>"460300199710110021"</f>
        <v>460300199710110021</v>
      </c>
    </row>
    <row r="882" customFormat="1" spans="1:15">
      <c r="A882">
        <v>1264</v>
      </c>
      <c r="B882" t="s">
        <v>1648</v>
      </c>
      <c r="C882" t="str">
        <f>"441422198912280068"</f>
        <v>441422198912280068</v>
      </c>
      <c r="D882" t="str">
        <f>"248030102903"</f>
        <v>248030102903</v>
      </c>
      <c r="L882">
        <v>1264</v>
      </c>
      <c r="M882" t="s">
        <v>1648</v>
      </c>
      <c r="N882" t="str">
        <f>"248030102903"</f>
        <v>248030102903</v>
      </c>
      <c r="O882" t="str">
        <f>"441422198912280068"</f>
        <v>441422198912280068</v>
      </c>
    </row>
    <row r="883" customFormat="1" spans="1:15">
      <c r="A883">
        <v>1266</v>
      </c>
      <c r="B883" t="s">
        <v>1649</v>
      </c>
      <c r="C883" t="str">
        <f>"460006199806170928"</f>
        <v>460006199806170928</v>
      </c>
      <c r="D883" t="str">
        <f>"248030102616"</f>
        <v>248030102616</v>
      </c>
      <c r="L883">
        <v>1266</v>
      </c>
      <c r="M883" t="s">
        <v>1649</v>
      </c>
      <c r="N883" t="str">
        <f>"248030102616"</f>
        <v>248030102616</v>
      </c>
      <c r="O883" t="str">
        <f>"460006199806170928"</f>
        <v>460006199806170928</v>
      </c>
    </row>
    <row r="884" customFormat="1" spans="1:15">
      <c r="A884">
        <v>1267</v>
      </c>
      <c r="B884" t="s">
        <v>1650</v>
      </c>
      <c r="C884" t="str">
        <f>"340202199710232029"</f>
        <v>340202199710232029</v>
      </c>
      <c r="L884">
        <v>1267</v>
      </c>
      <c r="M884" t="s">
        <v>1650</v>
      </c>
      <c r="O884" t="str">
        <f>"340202199710232029"</f>
        <v>340202199710232029</v>
      </c>
    </row>
    <row r="885" customFormat="1" spans="1:15">
      <c r="A885">
        <v>1269</v>
      </c>
      <c r="B885" t="s">
        <v>1651</v>
      </c>
      <c r="C885" t="str">
        <f>"460004199906183627"</f>
        <v>460004199906183627</v>
      </c>
      <c r="D885" t="str">
        <f>"248030101502"</f>
        <v>248030101502</v>
      </c>
      <c r="L885">
        <v>1269</v>
      </c>
      <c r="M885" t="s">
        <v>1651</v>
      </c>
      <c r="N885" t="str">
        <f>"248030101502"</f>
        <v>248030101502</v>
      </c>
      <c r="O885" t="str">
        <f>"460004199906183627"</f>
        <v>460004199906183627</v>
      </c>
    </row>
    <row r="886" customFormat="1" spans="1:15">
      <c r="A886">
        <v>1270</v>
      </c>
      <c r="B886" t="s">
        <v>1652</v>
      </c>
      <c r="C886" t="str">
        <f>"460033200010063224"</f>
        <v>460033200010063224</v>
      </c>
      <c r="D886" t="str">
        <f>"248030203819"</f>
        <v>248030203819</v>
      </c>
      <c r="L886">
        <v>1270</v>
      </c>
      <c r="M886" t="s">
        <v>1652</v>
      </c>
      <c r="N886" t="str">
        <f>"248030203819"</f>
        <v>248030203819</v>
      </c>
      <c r="O886" t="str">
        <f>"460033200010063224"</f>
        <v>460033200010063224</v>
      </c>
    </row>
    <row r="887" customFormat="1" spans="1:15">
      <c r="A887">
        <v>1271</v>
      </c>
      <c r="B887" t="s">
        <v>1653</v>
      </c>
      <c r="C887" t="str">
        <f>"460030199206136339"</f>
        <v>460030199206136339</v>
      </c>
      <c r="D887" t="str">
        <f>"248030201504"</f>
        <v>248030201504</v>
      </c>
      <c r="L887">
        <v>1271</v>
      </c>
      <c r="M887" t="s">
        <v>1653</v>
      </c>
      <c r="N887" t="str">
        <f>"248030201504"</f>
        <v>248030201504</v>
      </c>
      <c r="O887" t="str">
        <f>"460030199206136339"</f>
        <v>460030199206136339</v>
      </c>
    </row>
    <row r="888" customFormat="1" spans="1:15">
      <c r="A888">
        <v>1272</v>
      </c>
      <c r="B888" t="s">
        <v>1654</v>
      </c>
      <c r="C888" t="str">
        <f>"460104199511010946"</f>
        <v>460104199511010946</v>
      </c>
      <c r="D888" t="str">
        <f>"248030104819"</f>
        <v>248030104819</v>
      </c>
      <c r="L888">
        <v>1272</v>
      </c>
      <c r="M888" t="s">
        <v>1654</v>
      </c>
      <c r="N888" t="str">
        <f>"248030104819"</f>
        <v>248030104819</v>
      </c>
      <c r="O888" t="str">
        <f>"460104199511010946"</f>
        <v>460104199511010946</v>
      </c>
    </row>
    <row r="889" customFormat="1" spans="1:15">
      <c r="A889">
        <v>1273</v>
      </c>
      <c r="B889" t="s">
        <v>1655</v>
      </c>
      <c r="C889" t="str">
        <f>"469006200012144828"</f>
        <v>469006200012144828</v>
      </c>
      <c r="D889" t="str">
        <f>"248030302603"</f>
        <v>248030302603</v>
      </c>
      <c r="L889">
        <v>1273</v>
      </c>
      <c r="M889" t="s">
        <v>1655</v>
      </c>
      <c r="N889" t="str">
        <f>"248030302603"</f>
        <v>248030302603</v>
      </c>
      <c r="O889" t="str">
        <f>"469006200012144828"</f>
        <v>469006200012144828</v>
      </c>
    </row>
    <row r="890" customFormat="1" spans="1:15">
      <c r="A890">
        <v>1274</v>
      </c>
      <c r="B890" t="s">
        <v>288</v>
      </c>
      <c r="C890" t="str">
        <f>"46002620000923212X"</f>
        <v>46002620000923212X</v>
      </c>
      <c r="D890" t="str">
        <f>"248030300914"</f>
        <v>248030300914</v>
      </c>
      <c r="L890">
        <v>1274</v>
      </c>
      <c r="M890" t="s">
        <v>288</v>
      </c>
      <c r="N890" t="str">
        <f>"248030300914"</f>
        <v>248030300914</v>
      </c>
      <c r="O890" t="str">
        <f>"46002620000923212X"</f>
        <v>46002620000923212X</v>
      </c>
    </row>
    <row r="891" customFormat="1" spans="1:15">
      <c r="A891">
        <v>1277</v>
      </c>
      <c r="B891" t="s">
        <v>1656</v>
      </c>
      <c r="C891" t="str">
        <f>"460028199603087233"</f>
        <v>460028199603087233</v>
      </c>
      <c r="D891" t="str">
        <f>"248030202228"</f>
        <v>248030202228</v>
      </c>
      <c r="L891">
        <v>1277</v>
      </c>
      <c r="M891" t="s">
        <v>1656</v>
      </c>
      <c r="N891" t="str">
        <f>"248030202228"</f>
        <v>248030202228</v>
      </c>
      <c r="O891" t="str">
        <f>"460028199603087233"</f>
        <v>460028199603087233</v>
      </c>
    </row>
    <row r="892" customFormat="1" spans="1:15">
      <c r="A892">
        <v>1278</v>
      </c>
      <c r="B892" t="s">
        <v>1657</v>
      </c>
      <c r="C892" t="str">
        <f>"222424199312020622"</f>
        <v>222424199312020622</v>
      </c>
      <c r="D892" t="str">
        <f>"248030401610"</f>
        <v>248030401610</v>
      </c>
      <c r="L892">
        <v>1278</v>
      </c>
      <c r="M892" t="s">
        <v>1657</v>
      </c>
      <c r="N892" t="str">
        <f>"248030401610"</f>
        <v>248030401610</v>
      </c>
      <c r="O892" t="str">
        <f>"222424199312020622"</f>
        <v>222424199312020622</v>
      </c>
    </row>
    <row r="893" customFormat="1" spans="1:15">
      <c r="A893">
        <v>1279</v>
      </c>
      <c r="B893" t="s">
        <v>1658</v>
      </c>
      <c r="C893" t="str">
        <f>"51162119970925438X"</f>
        <v>51162119970925438X</v>
      </c>
      <c r="L893">
        <v>1279</v>
      </c>
      <c r="M893" t="s">
        <v>1658</v>
      </c>
      <c r="O893" t="str">
        <f>"51162119970925438X"</f>
        <v>51162119970925438X</v>
      </c>
    </row>
    <row r="894" customFormat="1" spans="1:15">
      <c r="A894">
        <v>1280</v>
      </c>
      <c r="B894" t="s">
        <v>1659</v>
      </c>
      <c r="C894" t="str">
        <f>"460104198806091523"</f>
        <v>460104198806091523</v>
      </c>
      <c r="D894" t="str">
        <f>"248030403418"</f>
        <v>248030403418</v>
      </c>
      <c r="L894">
        <v>1280</v>
      </c>
      <c r="M894" t="s">
        <v>1659</v>
      </c>
      <c r="N894" t="str">
        <f>"248030403418"</f>
        <v>248030403418</v>
      </c>
      <c r="O894" t="str">
        <f>"460104198806091523"</f>
        <v>460104198806091523</v>
      </c>
    </row>
    <row r="895" customFormat="1" spans="1:15">
      <c r="A895">
        <v>1285</v>
      </c>
      <c r="B895" t="s">
        <v>1660</v>
      </c>
      <c r="C895" t="str">
        <f>"500240200006106364"</f>
        <v>500240200006106364</v>
      </c>
      <c r="D895" t="str">
        <f>"248030101130"</f>
        <v>248030101130</v>
      </c>
      <c r="L895">
        <v>1285</v>
      </c>
      <c r="M895" t="s">
        <v>1660</v>
      </c>
      <c r="N895" t="str">
        <f>"248030101130"</f>
        <v>248030101130</v>
      </c>
      <c r="O895" t="str">
        <f>"500240200006106364"</f>
        <v>500240200006106364</v>
      </c>
    </row>
    <row r="896" customFormat="1" spans="1:15">
      <c r="A896">
        <v>1286</v>
      </c>
      <c r="B896" t="s">
        <v>1661</v>
      </c>
      <c r="C896" t="str">
        <f>"460003199604080044"</f>
        <v>460003199604080044</v>
      </c>
      <c r="D896" t="str">
        <f>"248030200413"</f>
        <v>248030200413</v>
      </c>
      <c r="L896">
        <v>1286</v>
      </c>
      <c r="M896" t="s">
        <v>1661</v>
      </c>
      <c r="N896" t="str">
        <f>"248030200413"</f>
        <v>248030200413</v>
      </c>
      <c r="O896" t="str">
        <f>"460003199604080044"</f>
        <v>460003199604080044</v>
      </c>
    </row>
    <row r="897" customFormat="1" spans="1:15">
      <c r="A897">
        <v>1287</v>
      </c>
      <c r="B897" t="s">
        <v>1662</v>
      </c>
      <c r="C897" t="str">
        <f>"46000619920629162X"</f>
        <v>46000619920629162X</v>
      </c>
      <c r="D897" t="str">
        <f>"248030104203"</f>
        <v>248030104203</v>
      </c>
      <c r="L897">
        <v>1287</v>
      </c>
      <c r="M897" t="s">
        <v>1662</v>
      </c>
      <c r="N897" t="str">
        <f>"248030104203"</f>
        <v>248030104203</v>
      </c>
      <c r="O897" t="str">
        <f>"46000619920629162X"</f>
        <v>46000619920629162X</v>
      </c>
    </row>
    <row r="898" customFormat="1" spans="1:15">
      <c r="A898">
        <v>1288</v>
      </c>
      <c r="B898" t="s">
        <v>1663</v>
      </c>
      <c r="C898" t="str">
        <f>"460026199208040029"</f>
        <v>460026199208040029</v>
      </c>
      <c r="D898" t="str">
        <f>"248030404310"</f>
        <v>248030404310</v>
      </c>
      <c r="L898">
        <v>1288</v>
      </c>
      <c r="M898" t="s">
        <v>1663</v>
      </c>
      <c r="N898" t="str">
        <f>"248030404310"</f>
        <v>248030404310</v>
      </c>
      <c r="O898" t="str">
        <f>"460026199208040029"</f>
        <v>460026199208040029</v>
      </c>
    </row>
    <row r="899" customFormat="1" spans="1:15">
      <c r="A899">
        <v>1289</v>
      </c>
      <c r="B899" t="s">
        <v>1664</v>
      </c>
      <c r="C899" t="str">
        <f>"460007200111260021"</f>
        <v>460007200111260021</v>
      </c>
      <c r="D899" t="str">
        <f>"248030402421"</f>
        <v>248030402421</v>
      </c>
      <c r="L899">
        <v>1289</v>
      </c>
      <c r="M899" t="s">
        <v>1664</v>
      </c>
      <c r="N899" t="str">
        <f>"248030402421"</f>
        <v>248030402421</v>
      </c>
      <c r="O899" t="str">
        <f>"460007200111260021"</f>
        <v>460007200111260021</v>
      </c>
    </row>
    <row r="900" customFormat="1" spans="1:15">
      <c r="A900">
        <v>1290</v>
      </c>
      <c r="B900" t="s">
        <v>1665</v>
      </c>
      <c r="C900" t="str">
        <f>"460025199804060046"</f>
        <v>460025199804060046</v>
      </c>
      <c r="L900">
        <v>1290</v>
      </c>
      <c r="M900" t="s">
        <v>1665</v>
      </c>
      <c r="O900" t="str">
        <f>"460025199804060046"</f>
        <v>460025199804060046</v>
      </c>
    </row>
    <row r="901" customFormat="1" spans="1:15">
      <c r="A901">
        <v>1291</v>
      </c>
      <c r="B901" t="s">
        <v>1666</v>
      </c>
      <c r="C901" t="str">
        <f>"46902319980723852X"</f>
        <v>46902319980723852X</v>
      </c>
      <c r="D901" t="str">
        <f>"248030401323"</f>
        <v>248030401323</v>
      </c>
      <c r="L901">
        <v>1291</v>
      </c>
      <c r="M901" t="s">
        <v>1666</v>
      </c>
      <c r="N901" t="str">
        <f>"248030401323"</f>
        <v>248030401323</v>
      </c>
      <c r="O901" t="str">
        <f>"46902319980723852X"</f>
        <v>46902319980723852X</v>
      </c>
    </row>
    <row r="902" customFormat="1" spans="1:15">
      <c r="A902">
        <v>1293</v>
      </c>
      <c r="B902" t="s">
        <v>1667</v>
      </c>
      <c r="C902" t="str">
        <f>"460004200111290029"</f>
        <v>460004200111290029</v>
      </c>
      <c r="D902" t="str">
        <f>"248030402029"</f>
        <v>248030402029</v>
      </c>
      <c r="L902">
        <v>1293</v>
      </c>
      <c r="M902" t="s">
        <v>1667</v>
      </c>
      <c r="N902" t="str">
        <f>"248030402029"</f>
        <v>248030402029</v>
      </c>
      <c r="O902" t="str">
        <f>"460004200111290029"</f>
        <v>460004200111290029</v>
      </c>
    </row>
    <row r="903" customFormat="1" spans="1:15">
      <c r="A903">
        <v>1294</v>
      </c>
      <c r="B903" t="s">
        <v>1668</v>
      </c>
      <c r="C903" t="str">
        <f>"460108200102031325"</f>
        <v>460108200102031325</v>
      </c>
      <c r="L903">
        <v>1294</v>
      </c>
      <c r="M903" t="s">
        <v>1668</v>
      </c>
      <c r="O903" t="str">
        <f>"460108200102031325"</f>
        <v>460108200102031325</v>
      </c>
    </row>
    <row r="904" customFormat="1" spans="1:15">
      <c r="A904">
        <v>1295</v>
      </c>
      <c r="B904" t="s">
        <v>1669</v>
      </c>
      <c r="C904" t="str">
        <f>"460003200111250020"</f>
        <v>460003200111250020</v>
      </c>
      <c r="D904" t="str">
        <f>"248030503322"</f>
        <v>248030503322</v>
      </c>
      <c r="L904">
        <v>1295</v>
      </c>
      <c r="M904" t="s">
        <v>1669</v>
      </c>
      <c r="N904" t="str">
        <f>"248030503322"</f>
        <v>248030503322</v>
      </c>
      <c r="O904" t="str">
        <f>"460003200111250020"</f>
        <v>460003200111250020</v>
      </c>
    </row>
    <row r="905" customFormat="1" spans="1:15">
      <c r="A905">
        <v>1298</v>
      </c>
      <c r="B905" t="s">
        <v>1670</v>
      </c>
      <c r="C905" t="str">
        <f>"460028199710087626"</f>
        <v>460028199710087626</v>
      </c>
      <c r="D905" t="str">
        <f>"248030503625"</f>
        <v>248030503625</v>
      </c>
      <c r="L905">
        <v>1298</v>
      </c>
      <c r="M905" t="s">
        <v>1670</v>
      </c>
      <c r="N905" t="str">
        <f>"248030503625"</f>
        <v>248030503625</v>
      </c>
      <c r="O905" t="str">
        <f>"460028199710087626"</f>
        <v>460028199710087626</v>
      </c>
    </row>
    <row r="906" customFormat="1" spans="1:15">
      <c r="A906">
        <v>1301</v>
      </c>
      <c r="B906" t="s">
        <v>1671</v>
      </c>
      <c r="C906" t="str">
        <f>"460030199808283627"</f>
        <v>460030199808283627</v>
      </c>
      <c r="D906" t="str">
        <f>"248030500616"</f>
        <v>248030500616</v>
      </c>
      <c r="L906">
        <v>1301</v>
      </c>
      <c r="M906" t="s">
        <v>1671</v>
      </c>
      <c r="N906" t="str">
        <f>"248030500616"</f>
        <v>248030500616</v>
      </c>
      <c r="O906" t="str">
        <f>"460030199808283627"</f>
        <v>460030199808283627</v>
      </c>
    </row>
    <row r="907" customFormat="1" spans="1:15">
      <c r="A907">
        <v>1302</v>
      </c>
      <c r="B907" t="s">
        <v>1672</v>
      </c>
      <c r="C907" t="str">
        <f>"460034199706205842"</f>
        <v>460034199706205842</v>
      </c>
      <c r="D907" t="str">
        <f>"248030400124"</f>
        <v>248030400124</v>
      </c>
      <c r="L907">
        <v>1302</v>
      </c>
      <c r="M907" t="s">
        <v>1672</v>
      </c>
      <c r="N907" t="str">
        <f>"248030400124"</f>
        <v>248030400124</v>
      </c>
      <c r="O907" t="str">
        <f>"460034199706205842"</f>
        <v>460034199706205842</v>
      </c>
    </row>
    <row r="908" customFormat="1" spans="1:15">
      <c r="A908">
        <v>1303</v>
      </c>
      <c r="B908" t="s">
        <v>1673</v>
      </c>
      <c r="C908" t="str">
        <f>"460031199305145245"</f>
        <v>460031199305145245</v>
      </c>
      <c r="D908" t="str">
        <f>"248030200426"</f>
        <v>248030200426</v>
      </c>
      <c r="L908">
        <v>1303</v>
      </c>
      <c r="M908" t="s">
        <v>1673</v>
      </c>
      <c r="N908" t="str">
        <f>"248030200426"</f>
        <v>248030200426</v>
      </c>
      <c r="O908" t="str">
        <f>"460031199305145245"</f>
        <v>460031199305145245</v>
      </c>
    </row>
    <row r="909" customFormat="1" spans="1:15">
      <c r="A909">
        <v>1304</v>
      </c>
      <c r="B909" t="s">
        <v>412</v>
      </c>
      <c r="C909" t="str">
        <f>"411381200009124826"</f>
        <v>411381200009124826</v>
      </c>
      <c r="D909" t="str">
        <f>"248030401009"</f>
        <v>248030401009</v>
      </c>
      <c r="L909">
        <v>1304</v>
      </c>
      <c r="M909" t="s">
        <v>412</v>
      </c>
      <c r="N909" t="str">
        <f>"248030401009"</f>
        <v>248030401009</v>
      </c>
      <c r="O909" t="str">
        <f>"411381200009124826"</f>
        <v>411381200009124826</v>
      </c>
    </row>
    <row r="910" customFormat="1" spans="1:15">
      <c r="A910">
        <v>1305</v>
      </c>
      <c r="B910" t="s">
        <v>1674</v>
      </c>
      <c r="C910" t="str">
        <f>"460004199510155849"</f>
        <v>460004199510155849</v>
      </c>
      <c r="D910" t="str">
        <f>"248030502416"</f>
        <v>248030502416</v>
      </c>
      <c r="L910">
        <v>1305</v>
      </c>
      <c r="M910" t="s">
        <v>1674</v>
      </c>
      <c r="N910" t="str">
        <f>"248030502416"</f>
        <v>248030502416</v>
      </c>
      <c r="O910" t="str">
        <f>"460004199510155849"</f>
        <v>460004199510155849</v>
      </c>
    </row>
    <row r="911" customFormat="1" spans="1:15">
      <c r="A911">
        <v>1306</v>
      </c>
      <c r="B911" t="s">
        <v>1675</v>
      </c>
      <c r="C911" t="str">
        <f>"460028200004071227"</f>
        <v>460028200004071227</v>
      </c>
      <c r="D911" t="str">
        <f>"248030500620"</f>
        <v>248030500620</v>
      </c>
      <c r="L911">
        <v>1306</v>
      </c>
      <c r="M911" t="s">
        <v>1675</v>
      </c>
      <c r="N911" t="str">
        <f>"248030500620"</f>
        <v>248030500620</v>
      </c>
      <c r="O911" t="str">
        <f>"460028200004071227"</f>
        <v>460028200004071227</v>
      </c>
    </row>
    <row r="912" customFormat="1" spans="1:15">
      <c r="A912">
        <v>1310</v>
      </c>
      <c r="B912" t="s">
        <v>790</v>
      </c>
      <c r="C912" t="str">
        <f>"460102199005280924"</f>
        <v>460102199005280924</v>
      </c>
      <c r="D912" t="str">
        <f>"248030503415"</f>
        <v>248030503415</v>
      </c>
      <c r="L912">
        <v>1310</v>
      </c>
      <c r="M912" t="s">
        <v>790</v>
      </c>
      <c r="N912" t="str">
        <f>"248030503415"</f>
        <v>248030503415</v>
      </c>
      <c r="O912" t="str">
        <f>"460102199005280924"</f>
        <v>460102199005280924</v>
      </c>
    </row>
    <row r="913" customFormat="1" spans="1:15">
      <c r="A913">
        <v>1312</v>
      </c>
      <c r="B913" t="s">
        <v>1676</v>
      </c>
      <c r="C913" t="str">
        <f>"440582199709123417"</f>
        <v>440582199709123417</v>
      </c>
      <c r="D913" t="str">
        <f>"248030300325"</f>
        <v>248030300325</v>
      </c>
      <c r="L913">
        <v>1312</v>
      </c>
      <c r="M913" t="s">
        <v>1676</v>
      </c>
      <c r="N913" t="str">
        <f>"248030300325"</f>
        <v>248030300325</v>
      </c>
      <c r="O913" t="str">
        <f>"440582199709123417"</f>
        <v>440582199709123417</v>
      </c>
    </row>
    <row r="914" customFormat="1" spans="1:15">
      <c r="A914">
        <v>1313</v>
      </c>
      <c r="B914" t="s">
        <v>1677</v>
      </c>
      <c r="C914" t="str">
        <f>"232326199603116869"</f>
        <v>232326199603116869</v>
      </c>
      <c r="D914" t="str">
        <f>"248030402410"</f>
        <v>248030402410</v>
      </c>
      <c r="L914">
        <v>1313</v>
      </c>
      <c r="M914" t="s">
        <v>1677</v>
      </c>
      <c r="N914" t="str">
        <f>"248030402410"</f>
        <v>248030402410</v>
      </c>
      <c r="O914" t="str">
        <f>"232326199603116869"</f>
        <v>232326199603116869</v>
      </c>
    </row>
    <row r="915" customFormat="1" spans="1:15">
      <c r="A915">
        <v>1315</v>
      </c>
      <c r="B915" t="s">
        <v>1678</v>
      </c>
      <c r="C915" t="str">
        <f>"460200199012034724"</f>
        <v>460200199012034724</v>
      </c>
      <c r="D915" t="str">
        <f>"248030401408"</f>
        <v>248030401408</v>
      </c>
      <c r="L915">
        <v>1315</v>
      </c>
      <c r="M915" t="s">
        <v>1678</v>
      </c>
      <c r="N915" t="str">
        <f>"248030401408"</f>
        <v>248030401408</v>
      </c>
      <c r="O915" t="str">
        <f>"460200199012034724"</f>
        <v>460200199012034724</v>
      </c>
    </row>
    <row r="916" customFormat="1" spans="1:15">
      <c r="A916">
        <v>1316</v>
      </c>
      <c r="B916" t="s">
        <v>1679</v>
      </c>
      <c r="C916" t="str">
        <f>"460006199209087528"</f>
        <v>460006199209087528</v>
      </c>
      <c r="D916" t="str">
        <f>"248030203512"</f>
        <v>248030203512</v>
      </c>
      <c r="L916">
        <v>1316</v>
      </c>
      <c r="M916" t="s">
        <v>1679</v>
      </c>
      <c r="N916" t="str">
        <f>"248030203512"</f>
        <v>248030203512</v>
      </c>
      <c r="O916" t="str">
        <f>"460006199209087528"</f>
        <v>460006199209087528</v>
      </c>
    </row>
    <row r="917" customFormat="1" spans="1:15">
      <c r="A917">
        <v>1318</v>
      </c>
      <c r="B917" t="s">
        <v>1680</v>
      </c>
      <c r="C917" t="str">
        <f>"460028199803263246"</f>
        <v>460028199803263246</v>
      </c>
      <c r="L917">
        <v>1318</v>
      </c>
      <c r="M917" t="s">
        <v>1680</v>
      </c>
      <c r="O917" t="str">
        <f>"460028199803263246"</f>
        <v>460028199803263246</v>
      </c>
    </row>
    <row r="918" customFormat="1" spans="1:15">
      <c r="A918">
        <v>1320</v>
      </c>
      <c r="B918" t="s">
        <v>1681</v>
      </c>
      <c r="C918" t="str">
        <f>"460107199912131721"</f>
        <v>460107199912131721</v>
      </c>
      <c r="D918" t="str">
        <f>"248030103910"</f>
        <v>248030103910</v>
      </c>
      <c r="L918">
        <v>1320</v>
      </c>
      <c r="M918" t="s">
        <v>1681</v>
      </c>
      <c r="N918" t="str">
        <f>"248030103910"</f>
        <v>248030103910</v>
      </c>
      <c r="O918" t="str">
        <f>"460107199912131721"</f>
        <v>460107199912131721</v>
      </c>
    </row>
    <row r="919" customFormat="1" spans="1:15">
      <c r="A919">
        <v>1323</v>
      </c>
      <c r="B919" t="s">
        <v>1682</v>
      </c>
      <c r="C919" t="str">
        <f>"430703199305149120"</f>
        <v>430703199305149120</v>
      </c>
      <c r="D919" t="str">
        <f>"248030203425"</f>
        <v>248030203425</v>
      </c>
      <c r="L919">
        <v>1323</v>
      </c>
      <c r="M919" t="s">
        <v>1682</v>
      </c>
      <c r="N919" t="str">
        <f>"248030203425"</f>
        <v>248030203425</v>
      </c>
      <c r="O919" t="str">
        <f>"430703199305149120"</f>
        <v>430703199305149120</v>
      </c>
    </row>
    <row r="920" customFormat="1" spans="1:15">
      <c r="A920">
        <v>1324</v>
      </c>
      <c r="B920" t="s">
        <v>1683</v>
      </c>
      <c r="C920" t="str">
        <f>"460033199803043885"</f>
        <v>460033199803043885</v>
      </c>
      <c r="L920">
        <v>1324</v>
      </c>
      <c r="M920" t="s">
        <v>1683</v>
      </c>
      <c r="O920" t="str">
        <f>"460033199803043885"</f>
        <v>460033199803043885</v>
      </c>
    </row>
    <row r="921" customFormat="1" spans="1:15">
      <c r="A921">
        <v>1326</v>
      </c>
      <c r="B921" t="s">
        <v>1684</v>
      </c>
      <c r="C921" t="str">
        <f>"469021200301081222"</f>
        <v>469021200301081222</v>
      </c>
      <c r="D921" t="str">
        <f>"248030402026"</f>
        <v>248030402026</v>
      </c>
      <c r="L921">
        <v>1326</v>
      </c>
      <c r="M921" t="s">
        <v>1684</v>
      </c>
      <c r="N921" t="str">
        <f>"248030402026"</f>
        <v>248030402026</v>
      </c>
      <c r="O921" t="str">
        <f>"469021200301081222"</f>
        <v>469021200301081222</v>
      </c>
    </row>
    <row r="922" customFormat="1" spans="1:15">
      <c r="A922">
        <v>1328</v>
      </c>
      <c r="B922" t="s">
        <v>1685</v>
      </c>
      <c r="C922" t="str">
        <f>"460026199907141240"</f>
        <v>460026199907141240</v>
      </c>
      <c r="D922" t="str">
        <f>"248030103403"</f>
        <v>248030103403</v>
      </c>
      <c r="L922">
        <v>1328</v>
      </c>
      <c r="M922" t="s">
        <v>1685</v>
      </c>
      <c r="N922" t="str">
        <f>"248030103403"</f>
        <v>248030103403</v>
      </c>
      <c r="O922" t="str">
        <f>"460026199907141240"</f>
        <v>460026199907141240</v>
      </c>
    </row>
    <row r="923" customFormat="1" spans="1:15">
      <c r="A923">
        <v>1329</v>
      </c>
      <c r="B923" t="s">
        <v>1686</v>
      </c>
      <c r="C923" t="str">
        <f>"460007199404209283"</f>
        <v>460007199404209283</v>
      </c>
      <c r="D923" t="str">
        <f>"248030501126"</f>
        <v>248030501126</v>
      </c>
      <c r="L923">
        <v>1329</v>
      </c>
      <c r="M923" t="s">
        <v>1686</v>
      </c>
      <c r="N923" t="str">
        <f>"248030501126"</f>
        <v>248030501126</v>
      </c>
      <c r="O923" t="str">
        <f>"460007199404209283"</f>
        <v>460007199404209283</v>
      </c>
    </row>
    <row r="924" customFormat="1" spans="1:15">
      <c r="A924">
        <v>1331</v>
      </c>
      <c r="B924" t="s">
        <v>1687</v>
      </c>
      <c r="C924" t="str">
        <f>"460200198704205745"</f>
        <v>460200198704205745</v>
      </c>
      <c r="L924">
        <v>1331</v>
      </c>
      <c r="M924" t="s">
        <v>1687</v>
      </c>
      <c r="O924" t="str">
        <f>"460200198704205745"</f>
        <v>460200198704205745</v>
      </c>
    </row>
    <row r="925" customFormat="1" spans="1:15">
      <c r="A925">
        <v>1332</v>
      </c>
      <c r="B925" t="s">
        <v>1688</v>
      </c>
      <c r="C925" t="str">
        <f>"460005199512112347"</f>
        <v>460005199512112347</v>
      </c>
      <c r="D925" t="str">
        <f>"248030104901"</f>
        <v>248030104901</v>
      </c>
      <c r="L925">
        <v>1332</v>
      </c>
      <c r="M925" t="s">
        <v>1688</v>
      </c>
      <c r="N925" t="str">
        <f>"248030104901"</f>
        <v>248030104901</v>
      </c>
      <c r="O925" t="str">
        <f>"460005199512112347"</f>
        <v>460005199512112347</v>
      </c>
    </row>
    <row r="926" customFormat="1" spans="1:15">
      <c r="A926">
        <v>1333</v>
      </c>
      <c r="B926" t="s">
        <v>1689</v>
      </c>
      <c r="C926" t="str">
        <f>"460028200306042448"</f>
        <v>460028200306042448</v>
      </c>
      <c r="D926" t="str">
        <f>"248030100920"</f>
        <v>248030100920</v>
      </c>
      <c r="L926">
        <v>1333</v>
      </c>
      <c r="M926" t="s">
        <v>1689</v>
      </c>
      <c r="N926" t="str">
        <f>"248030100920"</f>
        <v>248030100920</v>
      </c>
      <c r="O926" t="str">
        <f>"460028200306042448"</f>
        <v>460028200306042448</v>
      </c>
    </row>
    <row r="927" customFormat="1" spans="1:15">
      <c r="A927">
        <v>1334</v>
      </c>
      <c r="B927" t="s">
        <v>1690</v>
      </c>
      <c r="C927" t="str">
        <f>"469026199902191220"</f>
        <v>469026199902191220</v>
      </c>
      <c r="D927" t="str">
        <f>"248030302725"</f>
        <v>248030302725</v>
      </c>
      <c r="L927">
        <v>1334</v>
      </c>
      <c r="M927" t="s">
        <v>1690</v>
      </c>
      <c r="N927" t="str">
        <f>"248030302725"</f>
        <v>248030302725</v>
      </c>
      <c r="O927" t="str">
        <f>"469026199902191220"</f>
        <v>469026199902191220</v>
      </c>
    </row>
    <row r="928" customFormat="1" spans="1:15">
      <c r="A928">
        <v>1335</v>
      </c>
      <c r="B928" t="s">
        <v>1691</v>
      </c>
      <c r="C928" t="str">
        <f>"460007200001302024"</f>
        <v>460007200001302024</v>
      </c>
      <c r="L928">
        <v>1335</v>
      </c>
      <c r="M928" t="s">
        <v>1691</v>
      </c>
      <c r="O928" t="str">
        <f>"460007200001302024"</f>
        <v>460007200001302024</v>
      </c>
    </row>
    <row r="929" customFormat="1" spans="1:15">
      <c r="A929">
        <v>1337</v>
      </c>
      <c r="B929" t="s">
        <v>1692</v>
      </c>
      <c r="C929" t="str">
        <f>"46000319951224382X"</f>
        <v>46000319951224382X</v>
      </c>
      <c r="L929">
        <v>1337</v>
      </c>
      <c r="M929" t="s">
        <v>1692</v>
      </c>
      <c r="O929" t="str">
        <f>"46000319951224382X"</f>
        <v>46000319951224382X</v>
      </c>
    </row>
    <row r="930" customFormat="1" spans="1:15">
      <c r="A930">
        <v>1339</v>
      </c>
      <c r="B930" t="s">
        <v>1693</v>
      </c>
      <c r="C930" t="str">
        <f>"460033199906273229"</f>
        <v>460033199906273229</v>
      </c>
      <c r="D930" t="str">
        <f>"248030402328"</f>
        <v>248030402328</v>
      </c>
      <c r="L930">
        <v>1339</v>
      </c>
      <c r="M930" t="s">
        <v>1693</v>
      </c>
      <c r="N930" t="str">
        <f>"248030402328"</f>
        <v>248030402328</v>
      </c>
      <c r="O930" t="str">
        <f>"460033199906273229"</f>
        <v>460033199906273229</v>
      </c>
    </row>
    <row r="931" customFormat="1" spans="1:15">
      <c r="A931">
        <v>1340</v>
      </c>
      <c r="B931" t="s">
        <v>1694</v>
      </c>
      <c r="C931" t="str">
        <f>"460102199802023621"</f>
        <v>460102199802023621</v>
      </c>
      <c r="D931" t="str">
        <f>"248030402519"</f>
        <v>248030402519</v>
      </c>
      <c r="L931">
        <v>1340</v>
      </c>
      <c r="M931" t="s">
        <v>1694</v>
      </c>
      <c r="N931" t="str">
        <f>"248030402519"</f>
        <v>248030402519</v>
      </c>
      <c r="O931" t="str">
        <f>"460102199802023621"</f>
        <v>460102199802023621</v>
      </c>
    </row>
    <row r="932" customFormat="1" spans="1:15">
      <c r="A932">
        <v>1341</v>
      </c>
      <c r="B932" t="s">
        <v>1695</v>
      </c>
      <c r="C932" t="str">
        <f>"460031199708170816"</f>
        <v>460031199708170816</v>
      </c>
      <c r="D932" t="str">
        <f>"248030400503"</f>
        <v>248030400503</v>
      </c>
      <c r="L932">
        <v>1341</v>
      </c>
      <c r="M932" t="s">
        <v>1695</v>
      </c>
      <c r="N932" t="str">
        <f>"248030400503"</f>
        <v>248030400503</v>
      </c>
      <c r="O932" t="str">
        <f>"460031199708170816"</f>
        <v>460031199708170816</v>
      </c>
    </row>
    <row r="933" customFormat="1" spans="1:15">
      <c r="A933">
        <v>1342</v>
      </c>
      <c r="B933" t="s">
        <v>1696</v>
      </c>
      <c r="C933" t="str">
        <f>"460102200112211217"</f>
        <v>460102200112211217</v>
      </c>
      <c r="D933" t="str">
        <f>"248030300625"</f>
        <v>248030300625</v>
      </c>
      <c r="L933">
        <v>1342</v>
      </c>
      <c r="M933" t="s">
        <v>1696</v>
      </c>
      <c r="N933" t="str">
        <f>"248030300625"</f>
        <v>248030300625</v>
      </c>
      <c r="O933" t="str">
        <f>"460102200112211217"</f>
        <v>460102200112211217</v>
      </c>
    </row>
    <row r="934" customFormat="1" spans="1:15">
      <c r="A934">
        <v>1343</v>
      </c>
      <c r="B934" t="s">
        <v>1697</v>
      </c>
      <c r="C934" t="str">
        <f>"460004199808144843"</f>
        <v>460004199808144843</v>
      </c>
      <c r="D934" t="str">
        <f>"248030100519"</f>
        <v>248030100519</v>
      </c>
      <c r="L934">
        <v>1343</v>
      </c>
      <c r="M934" t="s">
        <v>1697</v>
      </c>
      <c r="N934" t="str">
        <f>"248030100519"</f>
        <v>248030100519</v>
      </c>
      <c r="O934" t="str">
        <f>"460004199808144843"</f>
        <v>460004199808144843</v>
      </c>
    </row>
    <row r="935" customFormat="1" spans="1:15">
      <c r="A935">
        <v>1344</v>
      </c>
      <c r="B935" t="s">
        <v>1698</v>
      </c>
      <c r="C935" t="str">
        <f>"460034199308285525"</f>
        <v>460034199308285525</v>
      </c>
      <c r="D935" t="str">
        <f>"248030101215"</f>
        <v>248030101215</v>
      </c>
      <c r="L935">
        <v>1344</v>
      </c>
      <c r="M935" t="s">
        <v>1698</v>
      </c>
      <c r="N935" t="str">
        <f>"248030101215"</f>
        <v>248030101215</v>
      </c>
      <c r="O935" t="str">
        <f>"460034199308285525"</f>
        <v>460034199308285525</v>
      </c>
    </row>
    <row r="936" customFormat="1" spans="1:15">
      <c r="A936">
        <v>1345</v>
      </c>
      <c r="B936" t="s">
        <v>1699</v>
      </c>
      <c r="C936" t="str">
        <f>"460006199906021620"</f>
        <v>460006199906021620</v>
      </c>
      <c r="D936" t="str">
        <f>"248030203808"</f>
        <v>248030203808</v>
      </c>
      <c r="L936">
        <v>1345</v>
      </c>
      <c r="M936" t="s">
        <v>1699</v>
      </c>
      <c r="N936" t="str">
        <f>"248030203808"</f>
        <v>248030203808</v>
      </c>
      <c r="O936" t="str">
        <f>"460006199906021620"</f>
        <v>460006199906021620</v>
      </c>
    </row>
    <row r="937" customFormat="1" spans="1:15">
      <c r="A937">
        <v>1346</v>
      </c>
      <c r="B937" t="s">
        <v>1700</v>
      </c>
      <c r="C937" t="str">
        <f>"460031199602010822"</f>
        <v>460031199602010822</v>
      </c>
      <c r="L937">
        <v>1346</v>
      </c>
      <c r="M937" t="s">
        <v>1700</v>
      </c>
      <c r="O937" t="str">
        <f>"460031199602010822"</f>
        <v>460031199602010822</v>
      </c>
    </row>
    <row r="938" customFormat="1" spans="1:15">
      <c r="A938">
        <v>1347</v>
      </c>
      <c r="B938" t="s">
        <v>1701</v>
      </c>
      <c r="C938" t="str">
        <f>"46002819990825002X"</f>
        <v>46002819990825002X</v>
      </c>
      <c r="D938" t="str">
        <f>"248030200301"</f>
        <v>248030200301</v>
      </c>
      <c r="L938">
        <v>1347</v>
      </c>
      <c r="M938" t="s">
        <v>1701</v>
      </c>
      <c r="N938" t="str">
        <f>"248030200301"</f>
        <v>248030200301</v>
      </c>
      <c r="O938" t="str">
        <f>"46002819990825002X"</f>
        <v>46002819990825002X</v>
      </c>
    </row>
    <row r="939" customFormat="1" spans="1:15">
      <c r="A939">
        <v>1348</v>
      </c>
      <c r="B939" t="s">
        <v>1702</v>
      </c>
      <c r="C939" t="str">
        <f>"460027199903301725"</f>
        <v>460027199903301725</v>
      </c>
      <c r="D939" t="str">
        <f>"248030503217"</f>
        <v>248030503217</v>
      </c>
      <c r="L939">
        <v>1348</v>
      </c>
      <c r="M939" t="s">
        <v>1702</v>
      </c>
      <c r="N939" t="str">
        <f>"248030503217"</f>
        <v>248030503217</v>
      </c>
      <c r="O939" t="str">
        <f>"460027199903301725"</f>
        <v>460027199903301725</v>
      </c>
    </row>
    <row r="940" customFormat="1" spans="1:15">
      <c r="A940">
        <v>1349</v>
      </c>
      <c r="B940" t="s">
        <v>1703</v>
      </c>
      <c r="C940" t="str">
        <f>"360734200112176829"</f>
        <v>360734200112176829</v>
      </c>
      <c r="L940">
        <v>1349</v>
      </c>
      <c r="M940" t="s">
        <v>1703</v>
      </c>
      <c r="O940" t="str">
        <f>"360734200112176829"</f>
        <v>360734200112176829</v>
      </c>
    </row>
    <row r="941" customFormat="1" spans="1:15">
      <c r="A941">
        <v>1350</v>
      </c>
      <c r="B941" t="s">
        <v>1704</v>
      </c>
      <c r="C941" t="str">
        <f>"460004200103230026"</f>
        <v>460004200103230026</v>
      </c>
      <c r="D941" t="str">
        <f>"248030103727"</f>
        <v>248030103727</v>
      </c>
      <c r="L941">
        <v>1350</v>
      </c>
      <c r="M941" t="s">
        <v>1704</v>
      </c>
      <c r="N941" t="str">
        <f>"248030103727"</f>
        <v>248030103727</v>
      </c>
      <c r="O941" t="str">
        <f>"460004200103230026"</f>
        <v>460004200103230026</v>
      </c>
    </row>
    <row r="942" customFormat="1" spans="1:15">
      <c r="A942">
        <v>1351</v>
      </c>
      <c r="B942" t="s">
        <v>1705</v>
      </c>
      <c r="C942" t="str">
        <f>"460004199802025229"</f>
        <v>460004199802025229</v>
      </c>
      <c r="D942" t="str">
        <f>"248030300706"</f>
        <v>248030300706</v>
      </c>
      <c r="L942">
        <v>1351</v>
      </c>
      <c r="M942" t="s">
        <v>1705</v>
      </c>
      <c r="N942" t="str">
        <f>"248030300706"</f>
        <v>248030300706</v>
      </c>
      <c r="O942" t="str">
        <f>"460004199802025229"</f>
        <v>460004199802025229</v>
      </c>
    </row>
    <row r="943" customFormat="1" spans="1:15">
      <c r="A943">
        <v>1352</v>
      </c>
      <c r="B943" t="s">
        <v>1706</v>
      </c>
      <c r="C943" t="str">
        <f>"460028199306290016"</f>
        <v>460028199306290016</v>
      </c>
      <c r="D943" t="str">
        <f>"248030301110"</f>
        <v>248030301110</v>
      </c>
      <c r="L943">
        <v>1352</v>
      </c>
      <c r="M943" t="s">
        <v>1706</v>
      </c>
      <c r="N943" t="str">
        <f>"248030301110"</f>
        <v>248030301110</v>
      </c>
      <c r="O943" t="str">
        <f>"460028199306290016"</f>
        <v>460028199306290016</v>
      </c>
    </row>
    <row r="944" customFormat="1" spans="1:15">
      <c r="A944">
        <v>1353</v>
      </c>
      <c r="B944" t="s">
        <v>1707</v>
      </c>
      <c r="C944" t="str">
        <f>"460200199205070027"</f>
        <v>460200199205070027</v>
      </c>
      <c r="D944" t="str">
        <f>"248030200621"</f>
        <v>248030200621</v>
      </c>
      <c r="L944">
        <v>1353</v>
      </c>
      <c r="M944" t="s">
        <v>1707</v>
      </c>
      <c r="N944" t="str">
        <f>"248030200621"</f>
        <v>248030200621</v>
      </c>
      <c r="O944" t="str">
        <f>"460200199205070027"</f>
        <v>460200199205070027</v>
      </c>
    </row>
    <row r="945" customFormat="1" spans="1:15">
      <c r="A945">
        <v>1354</v>
      </c>
      <c r="B945" t="s">
        <v>1708</v>
      </c>
      <c r="C945" t="str">
        <f>"460005200211012524"</f>
        <v>460005200211012524</v>
      </c>
      <c r="D945" t="str">
        <f>"248030300902"</f>
        <v>248030300902</v>
      </c>
      <c r="L945">
        <v>1354</v>
      </c>
      <c r="M945" t="s">
        <v>1708</v>
      </c>
      <c r="N945" t="str">
        <f>"248030300902"</f>
        <v>248030300902</v>
      </c>
      <c r="O945" t="str">
        <f>"460005200211012524"</f>
        <v>460005200211012524</v>
      </c>
    </row>
    <row r="946" customFormat="1" spans="1:15">
      <c r="A946">
        <v>1357</v>
      </c>
      <c r="B946" t="s">
        <v>1709</v>
      </c>
      <c r="C946" t="str">
        <f>"460005199904173923"</f>
        <v>460005199904173923</v>
      </c>
      <c r="D946" t="str">
        <f>"248030501812"</f>
        <v>248030501812</v>
      </c>
      <c r="L946">
        <v>1357</v>
      </c>
      <c r="M946" t="s">
        <v>1709</v>
      </c>
      <c r="N946" t="str">
        <f>"248030501812"</f>
        <v>248030501812</v>
      </c>
      <c r="O946" t="str">
        <f>"460005199904173923"</f>
        <v>460005199904173923</v>
      </c>
    </row>
    <row r="947" customFormat="1" spans="1:15">
      <c r="A947">
        <v>1358</v>
      </c>
      <c r="B947" t="s">
        <v>1710</v>
      </c>
      <c r="C947" t="str">
        <f>"460002199511086635"</f>
        <v>460002199511086635</v>
      </c>
      <c r="D947" t="str">
        <f>"248030104929"</f>
        <v>248030104929</v>
      </c>
      <c r="L947">
        <v>1358</v>
      </c>
      <c r="M947" t="s">
        <v>1710</v>
      </c>
      <c r="N947" t="str">
        <f>"248030104929"</f>
        <v>248030104929</v>
      </c>
      <c r="O947" t="str">
        <f>"460002199511086635"</f>
        <v>460002199511086635</v>
      </c>
    </row>
    <row r="948" customFormat="1" spans="1:15">
      <c r="A948">
        <v>1359</v>
      </c>
      <c r="B948" t="s">
        <v>1711</v>
      </c>
      <c r="C948" t="str">
        <f>"460003199606216822"</f>
        <v>460003199606216822</v>
      </c>
      <c r="D948" t="str">
        <f>"248030501029"</f>
        <v>248030501029</v>
      </c>
      <c r="L948">
        <v>1359</v>
      </c>
      <c r="M948" t="s">
        <v>1711</v>
      </c>
      <c r="N948" t="str">
        <f>"248030501029"</f>
        <v>248030501029</v>
      </c>
      <c r="O948" t="str">
        <f>"460003199606216822"</f>
        <v>460003199606216822</v>
      </c>
    </row>
    <row r="949" customFormat="1" spans="1:15">
      <c r="A949">
        <v>1360</v>
      </c>
      <c r="B949" t="s">
        <v>1712</v>
      </c>
      <c r="C949" t="str">
        <f>"500235200101253505"</f>
        <v>500235200101253505</v>
      </c>
      <c r="D949" t="str">
        <f>"248030201208"</f>
        <v>248030201208</v>
      </c>
      <c r="L949">
        <v>1360</v>
      </c>
      <c r="M949" t="s">
        <v>1712</v>
      </c>
      <c r="N949" t="str">
        <f>"248030201208"</f>
        <v>248030201208</v>
      </c>
      <c r="O949" t="str">
        <f>"500235200101253505"</f>
        <v>500235200101253505</v>
      </c>
    </row>
    <row r="950" customFormat="1" spans="1:15">
      <c r="A950">
        <v>1361</v>
      </c>
      <c r="B950" t="s">
        <v>1713</v>
      </c>
      <c r="C950" t="str">
        <f>"460003200107132822"</f>
        <v>460003200107132822</v>
      </c>
      <c r="L950">
        <v>1361</v>
      </c>
      <c r="M950" t="s">
        <v>1713</v>
      </c>
      <c r="O950" t="str">
        <f>"460003200107132822"</f>
        <v>460003200107132822</v>
      </c>
    </row>
    <row r="951" customFormat="1" spans="1:15">
      <c r="A951">
        <v>1362</v>
      </c>
      <c r="B951" t="s">
        <v>1714</v>
      </c>
      <c r="C951" t="str">
        <f>"460200199612111420"</f>
        <v>460200199612111420</v>
      </c>
      <c r="D951" t="str">
        <f>"248030400205"</f>
        <v>248030400205</v>
      </c>
      <c r="L951">
        <v>1362</v>
      </c>
      <c r="M951" t="s">
        <v>1714</v>
      </c>
      <c r="N951" t="str">
        <f>"248030400205"</f>
        <v>248030400205</v>
      </c>
      <c r="O951" t="str">
        <f>"460200199612111420"</f>
        <v>460200199612111420</v>
      </c>
    </row>
    <row r="952" customFormat="1" spans="1:15">
      <c r="A952">
        <v>1363</v>
      </c>
      <c r="B952" t="s">
        <v>1715</v>
      </c>
      <c r="C952" t="str">
        <f>"469023199603114146"</f>
        <v>469023199603114146</v>
      </c>
      <c r="D952" t="str">
        <f>"248030401909"</f>
        <v>248030401909</v>
      </c>
      <c r="L952">
        <v>1363</v>
      </c>
      <c r="M952" t="s">
        <v>1715</v>
      </c>
      <c r="N952" t="str">
        <f>"248030401909"</f>
        <v>248030401909</v>
      </c>
      <c r="O952" t="str">
        <f>"469023199603114146"</f>
        <v>469023199603114146</v>
      </c>
    </row>
    <row r="953" customFormat="1" spans="1:15">
      <c r="A953">
        <v>1364</v>
      </c>
      <c r="B953" t="s">
        <v>1716</v>
      </c>
      <c r="C953" t="str">
        <f>"460102200107021267"</f>
        <v>460102200107021267</v>
      </c>
      <c r="D953" t="str">
        <f>"248030203018"</f>
        <v>248030203018</v>
      </c>
      <c r="L953">
        <v>1364</v>
      </c>
      <c r="M953" t="s">
        <v>1716</v>
      </c>
      <c r="N953" t="str">
        <f>"248030203018"</f>
        <v>248030203018</v>
      </c>
      <c r="O953" t="str">
        <f>"460102200107021267"</f>
        <v>460102200107021267</v>
      </c>
    </row>
    <row r="954" customFormat="1" spans="1:15">
      <c r="A954">
        <v>1365</v>
      </c>
      <c r="B954" t="s">
        <v>1717</v>
      </c>
      <c r="C954" t="str">
        <f>"630102199902262939"</f>
        <v>630102199902262939</v>
      </c>
      <c r="D954" t="str">
        <f>"248030300503"</f>
        <v>248030300503</v>
      </c>
      <c r="L954">
        <v>1365</v>
      </c>
      <c r="M954" t="s">
        <v>1717</v>
      </c>
      <c r="N954" t="str">
        <f>"248030300503"</f>
        <v>248030300503</v>
      </c>
      <c r="O954" t="str">
        <f>"630102199902262939"</f>
        <v>630102199902262939</v>
      </c>
    </row>
    <row r="955" customFormat="1" spans="1:15">
      <c r="A955">
        <v>1367</v>
      </c>
      <c r="B955" t="s">
        <v>1718</v>
      </c>
      <c r="C955" t="str">
        <f>"460025200007060022"</f>
        <v>460025200007060022</v>
      </c>
      <c r="D955" t="str">
        <f>"248030403312"</f>
        <v>248030403312</v>
      </c>
      <c r="L955">
        <v>1367</v>
      </c>
      <c r="M955" t="s">
        <v>1718</v>
      </c>
      <c r="N955" t="str">
        <f>"248030403312"</f>
        <v>248030403312</v>
      </c>
      <c r="O955" t="str">
        <f>"460025200007060022"</f>
        <v>460025200007060022</v>
      </c>
    </row>
    <row r="956" customFormat="1" spans="1:15">
      <c r="A956">
        <v>1369</v>
      </c>
      <c r="B956" t="s">
        <v>1719</v>
      </c>
      <c r="C956" t="str">
        <f>"460103199007040023"</f>
        <v>460103199007040023</v>
      </c>
      <c r="D956" t="str">
        <f>"248030101714"</f>
        <v>248030101714</v>
      </c>
      <c r="L956">
        <v>1369</v>
      </c>
      <c r="M956" t="s">
        <v>1719</v>
      </c>
      <c r="N956" t="str">
        <f>"248030101714"</f>
        <v>248030101714</v>
      </c>
      <c r="O956" t="str">
        <f>"460103199007040023"</f>
        <v>460103199007040023</v>
      </c>
    </row>
    <row r="957" customFormat="1" spans="1:15">
      <c r="A957">
        <v>1371</v>
      </c>
      <c r="B957" t="s">
        <v>1720</v>
      </c>
      <c r="C957" t="str">
        <f>"460103200206210924"</f>
        <v>460103200206210924</v>
      </c>
      <c r="D957" t="str">
        <f>"248030502525"</f>
        <v>248030502525</v>
      </c>
      <c r="L957">
        <v>1371</v>
      </c>
      <c r="M957" t="s">
        <v>1720</v>
      </c>
      <c r="N957" t="str">
        <f>"248030502525"</f>
        <v>248030502525</v>
      </c>
      <c r="O957" t="str">
        <f>"460103200206210924"</f>
        <v>460103200206210924</v>
      </c>
    </row>
    <row r="958" customFormat="1" spans="1:15">
      <c r="A958">
        <v>1372</v>
      </c>
      <c r="B958" t="s">
        <v>1721</v>
      </c>
      <c r="C958" t="str">
        <f>"460007200104157210"</f>
        <v>460007200104157210</v>
      </c>
      <c r="D958" t="str">
        <f>"248030401703"</f>
        <v>248030401703</v>
      </c>
      <c r="L958">
        <v>1372</v>
      </c>
      <c r="M958" t="s">
        <v>1721</v>
      </c>
      <c r="N958" t="str">
        <f>"248030401703"</f>
        <v>248030401703</v>
      </c>
      <c r="O958" t="str">
        <f>"460007200104157210"</f>
        <v>460007200104157210</v>
      </c>
    </row>
    <row r="959" customFormat="1" spans="1:15">
      <c r="A959">
        <v>1373</v>
      </c>
      <c r="B959" t="s">
        <v>644</v>
      </c>
      <c r="C959" t="str">
        <f>"431281199211121410"</f>
        <v>431281199211121410</v>
      </c>
      <c r="D959" t="str">
        <f>"248030401030"</f>
        <v>248030401030</v>
      </c>
      <c r="L959">
        <v>1373</v>
      </c>
      <c r="M959" t="s">
        <v>644</v>
      </c>
      <c r="N959" t="str">
        <f>"248030401030"</f>
        <v>248030401030</v>
      </c>
      <c r="O959" t="str">
        <f>"431281199211121410"</f>
        <v>431281199211121410</v>
      </c>
    </row>
    <row r="960" customFormat="1" spans="1:15">
      <c r="A960">
        <v>1374</v>
      </c>
      <c r="B960" t="s">
        <v>1722</v>
      </c>
      <c r="C960" t="str">
        <f>"46900319951005242X"</f>
        <v>46900319951005242X</v>
      </c>
      <c r="D960" t="str">
        <f>"248030104319"</f>
        <v>248030104319</v>
      </c>
      <c r="L960">
        <v>1374</v>
      </c>
      <c r="M960" t="s">
        <v>1722</v>
      </c>
      <c r="N960" t="str">
        <f>"248030104319"</f>
        <v>248030104319</v>
      </c>
      <c r="O960" t="str">
        <f>"46900319951005242X"</f>
        <v>46900319951005242X</v>
      </c>
    </row>
    <row r="961" customFormat="1" spans="1:15">
      <c r="A961">
        <v>1375</v>
      </c>
      <c r="B961" t="s">
        <v>1723</v>
      </c>
      <c r="C961" t="str">
        <f>"460002198901101541"</f>
        <v>460002198901101541</v>
      </c>
      <c r="L961">
        <v>1375</v>
      </c>
      <c r="M961" t="s">
        <v>1723</v>
      </c>
      <c r="O961" t="str">
        <f>"460002198901101541"</f>
        <v>460002198901101541</v>
      </c>
    </row>
    <row r="962" customFormat="1" spans="1:15">
      <c r="A962">
        <v>1376</v>
      </c>
      <c r="B962" t="s">
        <v>1724</v>
      </c>
      <c r="C962" t="str">
        <f>"460033200201054486"</f>
        <v>460033200201054486</v>
      </c>
      <c r="D962" t="str">
        <f>"248030200411"</f>
        <v>248030200411</v>
      </c>
      <c r="L962">
        <v>1376</v>
      </c>
      <c r="M962" t="s">
        <v>1724</v>
      </c>
      <c r="N962" t="str">
        <f>"248030200411"</f>
        <v>248030200411</v>
      </c>
      <c r="O962" t="str">
        <f>"460033200201054486"</f>
        <v>460033200201054486</v>
      </c>
    </row>
    <row r="963" customFormat="1" spans="1:15">
      <c r="A963">
        <v>1377</v>
      </c>
      <c r="B963" t="s">
        <v>1725</v>
      </c>
      <c r="C963" t="str">
        <f>"460002199812060017"</f>
        <v>460002199812060017</v>
      </c>
      <c r="D963" t="str">
        <f>"248030203424"</f>
        <v>248030203424</v>
      </c>
      <c r="L963">
        <v>1377</v>
      </c>
      <c r="M963" t="s">
        <v>1725</v>
      </c>
      <c r="N963" t="str">
        <f>"248030203424"</f>
        <v>248030203424</v>
      </c>
      <c r="O963" t="str">
        <f>"460002199812060017"</f>
        <v>460002199812060017</v>
      </c>
    </row>
    <row r="964" customFormat="1" spans="1:15">
      <c r="A964">
        <v>1378</v>
      </c>
      <c r="B964" t="s">
        <v>1726</v>
      </c>
      <c r="C964" t="str">
        <f>"500236200211284288"</f>
        <v>500236200211284288</v>
      </c>
      <c r="L964">
        <v>1378</v>
      </c>
      <c r="M964" t="s">
        <v>1726</v>
      </c>
      <c r="O964" t="str">
        <f>"500236200211284288"</f>
        <v>500236200211284288</v>
      </c>
    </row>
    <row r="965" customFormat="1" spans="1:15">
      <c r="A965">
        <v>1380</v>
      </c>
      <c r="B965" t="s">
        <v>1552</v>
      </c>
      <c r="C965" t="str">
        <f>"360423200209271720"</f>
        <v>360423200209271720</v>
      </c>
      <c r="D965" t="str">
        <f>"248030403206"</f>
        <v>248030403206</v>
      </c>
      <c r="L965">
        <v>1380</v>
      </c>
      <c r="M965" t="s">
        <v>1552</v>
      </c>
      <c r="N965" t="str">
        <f>"248030403206"</f>
        <v>248030403206</v>
      </c>
      <c r="O965" t="str">
        <f>"360423200209271720"</f>
        <v>360423200209271720</v>
      </c>
    </row>
    <row r="966" customFormat="1" spans="1:15">
      <c r="A966">
        <v>1381</v>
      </c>
      <c r="B966" t="s">
        <v>1727</v>
      </c>
      <c r="C966" t="str">
        <f>"142427200205136368"</f>
        <v>142427200205136368</v>
      </c>
      <c r="D966" t="str">
        <f>"248030102624"</f>
        <v>248030102624</v>
      </c>
      <c r="L966">
        <v>1381</v>
      </c>
      <c r="M966" t="s">
        <v>1727</v>
      </c>
      <c r="N966" t="str">
        <f>"248030102624"</f>
        <v>248030102624</v>
      </c>
      <c r="O966" t="str">
        <f>"142427200205136368"</f>
        <v>142427200205136368</v>
      </c>
    </row>
    <row r="967" customFormat="1" spans="1:15">
      <c r="A967">
        <v>1382</v>
      </c>
      <c r="B967" t="s">
        <v>1728</v>
      </c>
      <c r="C967" t="str">
        <f>"460102199207171224"</f>
        <v>460102199207171224</v>
      </c>
      <c r="D967" t="str">
        <f>"248030301802"</f>
        <v>248030301802</v>
      </c>
      <c r="L967">
        <v>1382</v>
      </c>
      <c r="M967" t="s">
        <v>1728</v>
      </c>
      <c r="N967" t="str">
        <f>"248030301802"</f>
        <v>248030301802</v>
      </c>
      <c r="O967" t="str">
        <f>"460102199207171224"</f>
        <v>460102199207171224</v>
      </c>
    </row>
    <row r="968" customFormat="1" spans="1:15">
      <c r="A968">
        <v>1383</v>
      </c>
      <c r="B968" t="s">
        <v>1729</v>
      </c>
      <c r="C968" t="str">
        <f>"469003199805072786"</f>
        <v>469003199805072786</v>
      </c>
      <c r="D968" t="str">
        <f>"248030401717"</f>
        <v>248030401717</v>
      </c>
      <c r="L968">
        <v>1383</v>
      </c>
      <c r="M968" t="s">
        <v>1729</v>
      </c>
      <c r="N968" t="str">
        <f>"248030401717"</f>
        <v>248030401717</v>
      </c>
      <c r="O968" t="str">
        <f>"469003199805072786"</f>
        <v>469003199805072786</v>
      </c>
    </row>
    <row r="969" customFormat="1" spans="1:15">
      <c r="A969">
        <v>1384</v>
      </c>
      <c r="B969" t="s">
        <v>1730</v>
      </c>
      <c r="C969" t="str">
        <f>"460033199308084524"</f>
        <v>460033199308084524</v>
      </c>
      <c r="D969" t="str">
        <f>"248030502405"</f>
        <v>248030502405</v>
      </c>
      <c r="L969">
        <v>1384</v>
      </c>
      <c r="M969" t="s">
        <v>1730</v>
      </c>
      <c r="N969" t="str">
        <f>"248030502405"</f>
        <v>248030502405</v>
      </c>
      <c r="O969" t="str">
        <f>"460033199308084524"</f>
        <v>460033199308084524</v>
      </c>
    </row>
    <row r="970" customFormat="1" spans="1:15">
      <c r="A970">
        <v>1386</v>
      </c>
      <c r="B970" t="s">
        <v>1731</v>
      </c>
      <c r="C970" t="str">
        <f>"469026199912165640"</f>
        <v>469026199912165640</v>
      </c>
      <c r="D970" t="str">
        <f>"248030503703"</f>
        <v>248030503703</v>
      </c>
      <c r="L970">
        <v>1386</v>
      </c>
      <c r="M970" t="s">
        <v>1731</v>
      </c>
      <c r="N970" t="str">
        <f>"248030503703"</f>
        <v>248030503703</v>
      </c>
      <c r="O970" t="str">
        <f>"469026199912165640"</f>
        <v>469026199912165640</v>
      </c>
    </row>
    <row r="971" customFormat="1" spans="1:15">
      <c r="A971">
        <v>1387</v>
      </c>
      <c r="B971" t="s">
        <v>1732</v>
      </c>
      <c r="C971" t="str">
        <f>"460003199706196646"</f>
        <v>460003199706196646</v>
      </c>
      <c r="D971" t="str">
        <f>"248030101020"</f>
        <v>248030101020</v>
      </c>
      <c r="L971">
        <v>1387</v>
      </c>
      <c r="M971" t="s">
        <v>1732</v>
      </c>
      <c r="N971" t="str">
        <f>"248030101020"</f>
        <v>248030101020</v>
      </c>
      <c r="O971" t="str">
        <f>"460003199706196646"</f>
        <v>460003199706196646</v>
      </c>
    </row>
    <row r="972" customFormat="1" spans="1:15">
      <c r="A972">
        <v>1389</v>
      </c>
      <c r="B972" t="s">
        <v>1733</v>
      </c>
      <c r="C972" t="str">
        <f>"460102199611120322"</f>
        <v>460102199611120322</v>
      </c>
      <c r="D972" t="str">
        <f>"248030103928"</f>
        <v>248030103928</v>
      </c>
      <c r="L972">
        <v>1389</v>
      </c>
      <c r="M972" t="s">
        <v>1733</v>
      </c>
      <c r="N972" t="str">
        <f>"248030103928"</f>
        <v>248030103928</v>
      </c>
      <c r="O972" t="str">
        <f>"460102199611120322"</f>
        <v>460102199611120322</v>
      </c>
    </row>
    <row r="973" customFormat="1" spans="1:15">
      <c r="A973">
        <v>1390</v>
      </c>
      <c r="B973" t="s">
        <v>329</v>
      </c>
      <c r="C973" t="str">
        <f>"410182200202130325"</f>
        <v>410182200202130325</v>
      </c>
      <c r="D973" t="str">
        <f>"248030302105"</f>
        <v>248030302105</v>
      </c>
      <c r="L973">
        <v>1390</v>
      </c>
      <c r="M973" t="s">
        <v>329</v>
      </c>
      <c r="N973" t="str">
        <f>"248030302105"</f>
        <v>248030302105</v>
      </c>
      <c r="O973" t="str">
        <f>"410182200202130325"</f>
        <v>410182200202130325</v>
      </c>
    </row>
    <row r="974" customFormat="1" spans="1:15">
      <c r="A974">
        <v>1391</v>
      </c>
      <c r="B974" t="s">
        <v>1734</v>
      </c>
      <c r="C974" t="str">
        <f>"232303199707206039"</f>
        <v>232303199707206039</v>
      </c>
      <c r="L974">
        <v>1391</v>
      </c>
      <c r="M974" t="s">
        <v>1734</v>
      </c>
      <c r="O974" t="str">
        <f>"232303199707206039"</f>
        <v>232303199707206039</v>
      </c>
    </row>
    <row r="975" customFormat="1" spans="1:15">
      <c r="A975">
        <v>1393</v>
      </c>
      <c r="B975" t="s">
        <v>1735</v>
      </c>
      <c r="C975" t="str">
        <f>"460103199808223321"</f>
        <v>460103199808223321</v>
      </c>
      <c r="D975" t="str">
        <f>"248030502605"</f>
        <v>248030502605</v>
      </c>
      <c r="L975">
        <v>1393</v>
      </c>
      <c r="M975" t="s">
        <v>1735</v>
      </c>
      <c r="N975" t="str">
        <f>"248030502605"</f>
        <v>248030502605</v>
      </c>
      <c r="O975" t="str">
        <f>"460103199808223321"</f>
        <v>460103199808223321</v>
      </c>
    </row>
    <row r="976" customFormat="1" spans="1:15">
      <c r="A976">
        <v>1394</v>
      </c>
      <c r="B976" t="s">
        <v>1736</v>
      </c>
      <c r="C976" t="str">
        <f>"460027199311282022"</f>
        <v>460027199311282022</v>
      </c>
      <c r="D976" t="str">
        <f>"248030300626"</f>
        <v>248030300626</v>
      </c>
      <c r="L976">
        <v>1394</v>
      </c>
      <c r="M976" t="s">
        <v>1736</v>
      </c>
      <c r="N976" t="str">
        <f>"248030300626"</f>
        <v>248030300626</v>
      </c>
      <c r="O976" t="str">
        <f>"460027199311282022"</f>
        <v>460027199311282022</v>
      </c>
    </row>
    <row r="977" customFormat="1" spans="1:15">
      <c r="A977">
        <v>1396</v>
      </c>
      <c r="B977" t="s">
        <v>1737</v>
      </c>
      <c r="C977" t="str">
        <f>"460003199710116629"</f>
        <v>460003199710116629</v>
      </c>
      <c r="L977">
        <v>1396</v>
      </c>
      <c r="M977" t="s">
        <v>1737</v>
      </c>
      <c r="O977" t="str">
        <f>"460003199710116629"</f>
        <v>460003199710116629</v>
      </c>
    </row>
    <row r="978" customFormat="1" spans="1:15">
      <c r="A978">
        <v>1397</v>
      </c>
      <c r="B978" t="s">
        <v>1738</v>
      </c>
      <c r="C978" t="str">
        <f>"460033199908142687"</f>
        <v>460033199908142687</v>
      </c>
      <c r="D978" t="str">
        <f>"248030100409"</f>
        <v>248030100409</v>
      </c>
      <c r="L978">
        <v>1397</v>
      </c>
      <c r="M978" t="s">
        <v>1738</v>
      </c>
      <c r="N978" t="str">
        <f>"248030100409"</f>
        <v>248030100409</v>
      </c>
      <c r="O978" t="str">
        <f>"460033199908142687"</f>
        <v>460033199908142687</v>
      </c>
    </row>
    <row r="979" customFormat="1" spans="1:15">
      <c r="A979">
        <v>1399</v>
      </c>
      <c r="B979" t="s">
        <v>1739</v>
      </c>
      <c r="C979" t="str">
        <f>"460033199510151188"</f>
        <v>460033199510151188</v>
      </c>
      <c r="D979" t="str">
        <f>"248030503414"</f>
        <v>248030503414</v>
      </c>
      <c r="L979">
        <v>1399</v>
      </c>
      <c r="M979" t="s">
        <v>1739</v>
      </c>
      <c r="N979" t="str">
        <f>"248030503414"</f>
        <v>248030503414</v>
      </c>
      <c r="O979" t="str">
        <f>"460033199510151188"</f>
        <v>460033199510151188</v>
      </c>
    </row>
    <row r="980" customFormat="1" spans="1:15">
      <c r="A980">
        <v>1400</v>
      </c>
      <c r="B980" t="s">
        <v>1740</v>
      </c>
      <c r="C980" t="str">
        <f>"46030019970824002X"</f>
        <v>46030019970824002X</v>
      </c>
      <c r="D980" t="str">
        <f>"248030201002"</f>
        <v>248030201002</v>
      </c>
      <c r="L980">
        <v>1400</v>
      </c>
      <c r="M980" t="s">
        <v>1740</v>
      </c>
      <c r="N980" t="str">
        <f>"248030201002"</f>
        <v>248030201002</v>
      </c>
      <c r="O980" t="str">
        <f>"46030019970824002X"</f>
        <v>46030019970824002X</v>
      </c>
    </row>
    <row r="981" customFormat="1" spans="1:15">
      <c r="A981">
        <v>1401</v>
      </c>
      <c r="B981" t="s">
        <v>1741</v>
      </c>
      <c r="C981" t="str">
        <f>"445121200101283629"</f>
        <v>445121200101283629</v>
      </c>
      <c r="D981" t="str">
        <f>"248030302207"</f>
        <v>248030302207</v>
      </c>
      <c r="L981">
        <v>1401</v>
      </c>
      <c r="M981" t="s">
        <v>1741</v>
      </c>
      <c r="N981" t="str">
        <f>"248030302207"</f>
        <v>248030302207</v>
      </c>
      <c r="O981" t="str">
        <f>"445121200101283629"</f>
        <v>445121200101283629</v>
      </c>
    </row>
    <row r="982" customFormat="1" spans="1:15">
      <c r="A982">
        <v>1402</v>
      </c>
      <c r="B982" t="s">
        <v>1742</v>
      </c>
      <c r="C982" t="str">
        <f>"140623198807084538"</f>
        <v>140623198807084538</v>
      </c>
      <c r="L982">
        <v>1402</v>
      </c>
      <c r="M982" t="s">
        <v>1742</v>
      </c>
      <c r="O982" t="str">
        <f>"140623198807084538"</f>
        <v>140623198807084538</v>
      </c>
    </row>
    <row r="983" customFormat="1" spans="1:15">
      <c r="A983">
        <v>1403</v>
      </c>
      <c r="B983" t="s">
        <v>1743</v>
      </c>
      <c r="C983" t="str">
        <f>"430981199703240325"</f>
        <v>430981199703240325</v>
      </c>
      <c r="D983" t="str">
        <f>"248030202922"</f>
        <v>248030202922</v>
      </c>
      <c r="L983">
        <v>1403</v>
      </c>
      <c r="M983" t="s">
        <v>1743</v>
      </c>
      <c r="N983" t="str">
        <f>"248030202922"</f>
        <v>248030202922</v>
      </c>
      <c r="O983" t="str">
        <f>"430981199703240325"</f>
        <v>430981199703240325</v>
      </c>
    </row>
    <row r="984" customFormat="1" spans="1:15">
      <c r="A984">
        <v>1405</v>
      </c>
      <c r="B984" t="s">
        <v>460</v>
      </c>
      <c r="C984" t="str">
        <f>"420204198912306725"</f>
        <v>420204198912306725</v>
      </c>
      <c r="D984" t="str">
        <f>"248030401322"</f>
        <v>248030401322</v>
      </c>
      <c r="L984">
        <v>1405</v>
      </c>
      <c r="M984" t="s">
        <v>460</v>
      </c>
      <c r="N984" t="str">
        <f>"248030401322"</f>
        <v>248030401322</v>
      </c>
      <c r="O984" t="str">
        <f>"420204198912306725"</f>
        <v>420204198912306725</v>
      </c>
    </row>
    <row r="985" customFormat="1" spans="1:15">
      <c r="A985">
        <v>1409</v>
      </c>
      <c r="B985" t="s">
        <v>1744</v>
      </c>
      <c r="C985" t="str">
        <f>"612422199210050548"</f>
        <v>612422199210050548</v>
      </c>
      <c r="D985" t="str">
        <f>"248030500129"</f>
        <v>248030500129</v>
      </c>
      <c r="L985">
        <v>1409</v>
      </c>
      <c r="M985" t="s">
        <v>1744</v>
      </c>
      <c r="N985" t="str">
        <f>"248030500129"</f>
        <v>248030500129</v>
      </c>
      <c r="O985" t="str">
        <f>"612422199210050548"</f>
        <v>612422199210050548</v>
      </c>
    </row>
    <row r="986" customFormat="1" spans="1:15">
      <c r="A986">
        <v>1410</v>
      </c>
      <c r="B986" t="s">
        <v>1745</v>
      </c>
      <c r="C986" t="str">
        <f>"460003199506162249"</f>
        <v>460003199506162249</v>
      </c>
      <c r="D986" t="str">
        <f>"248030200623"</f>
        <v>248030200623</v>
      </c>
      <c r="L986">
        <v>1410</v>
      </c>
      <c r="M986" t="s">
        <v>1745</v>
      </c>
      <c r="N986" t="str">
        <f>"248030200623"</f>
        <v>248030200623</v>
      </c>
      <c r="O986" t="str">
        <f>"460003199506162249"</f>
        <v>460003199506162249</v>
      </c>
    </row>
    <row r="987" customFormat="1" spans="1:15">
      <c r="A987">
        <v>1412</v>
      </c>
      <c r="B987" t="s">
        <v>1746</v>
      </c>
      <c r="C987" t="str">
        <f>"46000620000712164X"</f>
        <v>46000620000712164X</v>
      </c>
      <c r="D987" t="str">
        <f>"248030200929"</f>
        <v>248030200929</v>
      </c>
      <c r="L987">
        <v>1412</v>
      </c>
      <c r="M987" t="s">
        <v>1746</v>
      </c>
      <c r="N987" t="str">
        <f>"248030200929"</f>
        <v>248030200929</v>
      </c>
      <c r="O987" t="str">
        <f>"46000620000712164X"</f>
        <v>46000620000712164X</v>
      </c>
    </row>
    <row r="988" customFormat="1" spans="1:15">
      <c r="A988">
        <v>1413</v>
      </c>
      <c r="B988" t="s">
        <v>1747</v>
      </c>
      <c r="C988" t="str">
        <f>"430408199702012027"</f>
        <v>430408199702012027</v>
      </c>
      <c r="D988" t="str">
        <f>"248030503122"</f>
        <v>248030503122</v>
      </c>
      <c r="L988">
        <v>1413</v>
      </c>
      <c r="M988" t="s">
        <v>1747</v>
      </c>
      <c r="N988" t="str">
        <f>"248030503122"</f>
        <v>248030503122</v>
      </c>
      <c r="O988" t="str">
        <f>"430408199702012027"</f>
        <v>430408199702012027</v>
      </c>
    </row>
    <row r="989" customFormat="1" spans="1:15">
      <c r="A989">
        <v>1414</v>
      </c>
      <c r="B989" t="s">
        <v>1748</v>
      </c>
      <c r="C989" t="str">
        <f>"460028200007280016"</f>
        <v>460028200007280016</v>
      </c>
      <c r="D989" t="str">
        <f>"248030202108"</f>
        <v>248030202108</v>
      </c>
      <c r="L989">
        <v>1414</v>
      </c>
      <c r="M989" t="s">
        <v>1748</v>
      </c>
      <c r="N989" t="str">
        <f>"248030202108"</f>
        <v>248030202108</v>
      </c>
      <c r="O989" t="str">
        <f>"460028200007280016"</f>
        <v>460028200007280016</v>
      </c>
    </row>
    <row r="990" customFormat="1" spans="1:15">
      <c r="A990">
        <v>1416</v>
      </c>
      <c r="B990" t="s">
        <v>1749</v>
      </c>
      <c r="C990" t="str">
        <f>"460007199110050027"</f>
        <v>460007199110050027</v>
      </c>
      <c r="D990" t="str">
        <f>"248030500611"</f>
        <v>248030500611</v>
      </c>
      <c r="L990">
        <v>1416</v>
      </c>
      <c r="M990" t="s">
        <v>1749</v>
      </c>
      <c r="N990" t="str">
        <f>"248030500611"</f>
        <v>248030500611</v>
      </c>
      <c r="O990" t="str">
        <f>"460007199110050027"</f>
        <v>460007199110050027</v>
      </c>
    </row>
    <row r="991" customFormat="1" spans="1:15">
      <c r="A991">
        <v>1417</v>
      </c>
      <c r="B991" t="s">
        <v>1750</v>
      </c>
      <c r="C991" t="str">
        <f>"460103200106302725"</f>
        <v>460103200106302725</v>
      </c>
      <c r="D991" t="str">
        <f>"248030504119"</f>
        <v>248030504119</v>
      </c>
      <c r="L991">
        <v>1417</v>
      </c>
      <c r="M991" t="s">
        <v>1750</v>
      </c>
      <c r="N991" t="str">
        <f>"248030504119"</f>
        <v>248030504119</v>
      </c>
      <c r="O991" t="str">
        <f>"460103200106302725"</f>
        <v>460103200106302725</v>
      </c>
    </row>
    <row r="992" customFormat="1" spans="1:15">
      <c r="A992">
        <v>1419</v>
      </c>
      <c r="B992" t="s">
        <v>1751</v>
      </c>
      <c r="C992" t="str">
        <f>"460006199503092328"</f>
        <v>460006199503092328</v>
      </c>
      <c r="L992">
        <v>1419</v>
      </c>
      <c r="M992" t="s">
        <v>1751</v>
      </c>
      <c r="O992" t="str">
        <f>"460006199503092328"</f>
        <v>460006199503092328</v>
      </c>
    </row>
    <row r="993" customFormat="1" spans="1:15">
      <c r="A993">
        <v>1420</v>
      </c>
      <c r="B993" t="s">
        <v>1752</v>
      </c>
      <c r="C993" t="str">
        <f>"460007199510048049"</f>
        <v>460007199510048049</v>
      </c>
      <c r="L993">
        <v>1420</v>
      </c>
      <c r="M993" t="s">
        <v>1752</v>
      </c>
      <c r="O993" t="str">
        <f>"460007199510048049"</f>
        <v>460007199510048049</v>
      </c>
    </row>
    <row r="994" customFormat="1" spans="1:15">
      <c r="A994">
        <v>1421</v>
      </c>
      <c r="B994" t="s">
        <v>1753</v>
      </c>
      <c r="C994" t="str">
        <f>"460200199001214447"</f>
        <v>460200199001214447</v>
      </c>
      <c r="D994" t="str">
        <f>"248030502125"</f>
        <v>248030502125</v>
      </c>
      <c r="L994">
        <v>1421</v>
      </c>
      <c r="M994" t="s">
        <v>1753</v>
      </c>
      <c r="N994" t="str">
        <f>"248030502125"</f>
        <v>248030502125</v>
      </c>
      <c r="O994" t="str">
        <f>"460200199001214447"</f>
        <v>460200199001214447</v>
      </c>
    </row>
    <row r="995" customFormat="1" spans="1:15">
      <c r="A995">
        <v>1422</v>
      </c>
      <c r="B995" t="s">
        <v>1754</v>
      </c>
      <c r="C995" t="str">
        <f>"460003200007237619"</f>
        <v>460003200007237619</v>
      </c>
      <c r="D995" t="str">
        <f>"248030400417"</f>
        <v>248030400417</v>
      </c>
      <c r="L995">
        <v>1422</v>
      </c>
      <c r="M995" t="s">
        <v>1754</v>
      </c>
      <c r="N995" t="str">
        <f>"248030400417"</f>
        <v>248030400417</v>
      </c>
      <c r="O995" t="str">
        <f>"460003200007237619"</f>
        <v>460003200007237619</v>
      </c>
    </row>
    <row r="996" customFormat="1" spans="1:15">
      <c r="A996">
        <v>1423</v>
      </c>
      <c r="B996" t="s">
        <v>1755</v>
      </c>
      <c r="C996" t="str">
        <f>"460026198909091246"</f>
        <v>460026198909091246</v>
      </c>
      <c r="D996" t="str">
        <f>"248030502301"</f>
        <v>248030502301</v>
      </c>
      <c r="L996">
        <v>1423</v>
      </c>
      <c r="M996" t="s">
        <v>1755</v>
      </c>
      <c r="N996" t="str">
        <f>"248030502301"</f>
        <v>248030502301</v>
      </c>
      <c r="O996" t="str">
        <f>"460026198909091246"</f>
        <v>460026198909091246</v>
      </c>
    </row>
    <row r="997" customFormat="1" spans="1:15">
      <c r="A997">
        <v>1425</v>
      </c>
      <c r="B997" t="s">
        <v>1756</v>
      </c>
      <c r="C997" t="str">
        <f>"46002819980811002X"</f>
        <v>46002819980811002X</v>
      </c>
      <c r="D997" t="str">
        <f>"248030501613"</f>
        <v>248030501613</v>
      </c>
      <c r="L997">
        <v>1425</v>
      </c>
      <c r="M997" t="s">
        <v>1756</v>
      </c>
      <c r="N997" t="str">
        <f>"248030501613"</f>
        <v>248030501613</v>
      </c>
      <c r="O997" t="str">
        <f>"46002819980811002X"</f>
        <v>46002819980811002X</v>
      </c>
    </row>
    <row r="998" customFormat="1" spans="1:15">
      <c r="A998">
        <v>1427</v>
      </c>
      <c r="B998" t="s">
        <v>1757</v>
      </c>
      <c r="C998" t="str">
        <f>"460026199606280028"</f>
        <v>460026199606280028</v>
      </c>
      <c r="L998">
        <v>1427</v>
      </c>
      <c r="M998" t="s">
        <v>1757</v>
      </c>
      <c r="O998" t="str">
        <f>"460026199606280028"</f>
        <v>460026199606280028</v>
      </c>
    </row>
    <row r="999" customFormat="1" spans="1:15">
      <c r="A999">
        <v>1428</v>
      </c>
      <c r="B999" t="s">
        <v>1758</v>
      </c>
      <c r="C999" t="str">
        <f>"460030199712083313"</f>
        <v>460030199712083313</v>
      </c>
      <c r="D999" t="str">
        <f>"248030301123"</f>
        <v>248030301123</v>
      </c>
      <c r="L999">
        <v>1428</v>
      </c>
      <c r="M999" t="s">
        <v>1758</v>
      </c>
      <c r="N999" t="str">
        <f>"248030301123"</f>
        <v>248030301123</v>
      </c>
      <c r="O999" t="str">
        <f>"460030199712083313"</f>
        <v>460030199712083313</v>
      </c>
    </row>
    <row r="1000" customFormat="1" spans="1:15">
      <c r="A1000">
        <v>1430</v>
      </c>
      <c r="B1000" t="s">
        <v>1759</v>
      </c>
      <c r="C1000" t="str">
        <f>"460106200212074112"</f>
        <v>460106200212074112</v>
      </c>
      <c r="D1000" t="str">
        <f>"248030400307"</f>
        <v>248030400307</v>
      </c>
      <c r="L1000">
        <v>1430</v>
      </c>
      <c r="M1000" t="s">
        <v>1759</v>
      </c>
      <c r="N1000" t="str">
        <f>"248030400307"</f>
        <v>248030400307</v>
      </c>
      <c r="O1000" t="str">
        <f>"460106200212074112"</f>
        <v>460106200212074112</v>
      </c>
    </row>
    <row r="1001" customFormat="1" spans="1:15">
      <c r="A1001">
        <v>1431</v>
      </c>
      <c r="B1001" t="s">
        <v>1760</v>
      </c>
      <c r="C1001" t="str">
        <f>"460107200001043021"</f>
        <v>460107200001043021</v>
      </c>
      <c r="D1001" t="str">
        <f>"248030503009"</f>
        <v>248030503009</v>
      </c>
      <c r="L1001">
        <v>1431</v>
      </c>
      <c r="M1001" t="s">
        <v>1760</v>
      </c>
      <c r="N1001" t="str">
        <f>"248030503009"</f>
        <v>248030503009</v>
      </c>
      <c r="O1001" t="str">
        <f>"460107200001043021"</f>
        <v>460107200001043021</v>
      </c>
    </row>
    <row r="1002" customFormat="1" spans="1:15">
      <c r="A1002">
        <v>1434</v>
      </c>
      <c r="B1002" t="s">
        <v>1761</v>
      </c>
      <c r="C1002" t="str">
        <f>"460027200204201720"</f>
        <v>460027200204201720</v>
      </c>
      <c r="D1002" t="str">
        <f>"248030101613"</f>
        <v>248030101613</v>
      </c>
      <c r="L1002">
        <v>1434</v>
      </c>
      <c r="M1002" t="s">
        <v>1761</v>
      </c>
      <c r="N1002" t="str">
        <f>"248030101613"</f>
        <v>248030101613</v>
      </c>
      <c r="O1002" t="str">
        <f>"460027200204201720"</f>
        <v>460027200204201720</v>
      </c>
    </row>
    <row r="1003" customFormat="1" spans="1:15">
      <c r="A1003">
        <v>1437</v>
      </c>
      <c r="B1003" t="s">
        <v>1762</v>
      </c>
      <c r="C1003" t="str">
        <f>"460036200009200024"</f>
        <v>460036200009200024</v>
      </c>
      <c r="D1003" t="str">
        <f>"248030202105"</f>
        <v>248030202105</v>
      </c>
      <c r="L1003">
        <v>1437</v>
      </c>
      <c r="M1003" t="s">
        <v>1762</v>
      </c>
      <c r="N1003" t="str">
        <f>"248030202105"</f>
        <v>248030202105</v>
      </c>
      <c r="O1003" t="str">
        <f>"460036200009200024"</f>
        <v>460036200009200024</v>
      </c>
    </row>
    <row r="1004" customFormat="1" spans="1:15">
      <c r="A1004">
        <v>1438</v>
      </c>
      <c r="B1004" t="s">
        <v>1763</v>
      </c>
      <c r="C1004" t="str">
        <f>"46902420010221006X"</f>
        <v>46902420010221006X</v>
      </c>
      <c r="D1004" t="str">
        <f>"248030103612"</f>
        <v>248030103612</v>
      </c>
      <c r="L1004">
        <v>1438</v>
      </c>
      <c r="M1004" t="s">
        <v>1763</v>
      </c>
      <c r="N1004" t="str">
        <f>"248030103612"</f>
        <v>248030103612</v>
      </c>
      <c r="O1004" t="str">
        <f>"46902420010221006X"</f>
        <v>46902420010221006X</v>
      </c>
    </row>
    <row r="1005" customFormat="1" spans="1:15">
      <c r="A1005">
        <v>1440</v>
      </c>
      <c r="B1005" t="s">
        <v>1764</v>
      </c>
      <c r="C1005" t="str">
        <f>"460027200004032926"</f>
        <v>460027200004032926</v>
      </c>
      <c r="D1005" t="str">
        <f>"248030401517"</f>
        <v>248030401517</v>
      </c>
      <c r="L1005">
        <v>1440</v>
      </c>
      <c r="M1005" t="s">
        <v>1764</v>
      </c>
      <c r="N1005" t="str">
        <f>"248030401517"</f>
        <v>248030401517</v>
      </c>
      <c r="O1005" t="str">
        <f>"460027200004032926"</f>
        <v>460027200004032926</v>
      </c>
    </row>
    <row r="1006" customFormat="1" spans="1:15">
      <c r="A1006">
        <v>1441</v>
      </c>
      <c r="B1006" t="s">
        <v>1765</v>
      </c>
      <c r="C1006" t="str">
        <f>"469007199906137222"</f>
        <v>469007199906137222</v>
      </c>
      <c r="D1006" t="str">
        <f>"248030102904"</f>
        <v>248030102904</v>
      </c>
      <c r="L1006">
        <v>1441</v>
      </c>
      <c r="M1006" t="s">
        <v>1765</v>
      </c>
      <c r="N1006" t="str">
        <f>"248030102904"</f>
        <v>248030102904</v>
      </c>
      <c r="O1006" t="str">
        <f>"469007199906137222"</f>
        <v>469007199906137222</v>
      </c>
    </row>
    <row r="1007" customFormat="1" spans="1:15">
      <c r="A1007">
        <v>1442</v>
      </c>
      <c r="B1007" t="s">
        <v>1766</v>
      </c>
      <c r="C1007" t="str">
        <f>"460033199803043228"</f>
        <v>460033199803043228</v>
      </c>
      <c r="D1007" t="str">
        <f>"248030401821"</f>
        <v>248030401821</v>
      </c>
      <c r="L1007">
        <v>1442</v>
      </c>
      <c r="M1007" t="s">
        <v>1766</v>
      </c>
      <c r="N1007" t="str">
        <f>"248030401821"</f>
        <v>248030401821</v>
      </c>
      <c r="O1007" t="str">
        <f>"460033199803043228"</f>
        <v>460033199803043228</v>
      </c>
    </row>
    <row r="1008" customFormat="1" spans="1:15">
      <c r="A1008">
        <v>1445</v>
      </c>
      <c r="B1008" t="s">
        <v>589</v>
      </c>
      <c r="C1008" t="str">
        <f>"460006199312130029"</f>
        <v>460006199312130029</v>
      </c>
      <c r="D1008" t="str">
        <f>"248030500123"</f>
        <v>248030500123</v>
      </c>
      <c r="L1008">
        <v>1445</v>
      </c>
      <c r="M1008" t="s">
        <v>589</v>
      </c>
      <c r="N1008" t="str">
        <f>"248030500123"</f>
        <v>248030500123</v>
      </c>
      <c r="O1008" t="str">
        <f>"460006199312130029"</f>
        <v>460006199312130029</v>
      </c>
    </row>
    <row r="1009" customFormat="1" spans="1:15">
      <c r="A1009">
        <v>1446</v>
      </c>
      <c r="B1009" t="s">
        <v>1767</v>
      </c>
      <c r="C1009" t="str">
        <f>"46900319951125842X"</f>
        <v>46900319951125842X</v>
      </c>
      <c r="D1009" t="str">
        <f>"248030402401"</f>
        <v>248030402401</v>
      </c>
      <c r="L1009">
        <v>1446</v>
      </c>
      <c r="M1009" t="s">
        <v>1767</v>
      </c>
      <c r="N1009" t="str">
        <f>"248030402401"</f>
        <v>248030402401</v>
      </c>
      <c r="O1009" t="str">
        <f>"46900319951125842X"</f>
        <v>46900319951125842X</v>
      </c>
    </row>
    <row r="1010" customFormat="1" spans="1:15">
      <c r="A1010">
        <v>1447</v>
      </c>
      <c r="B1010" t="s">
        <v>1768</v>
      </c>
      <c r="C1010" t="str">
        <f>"460003199906192826"</f>
        <v>460003199906192826</v>
      </c>
      <c r="L1010">
        <v>1447</v>
      </c>
      <c r="M1010" t="s">
        <v>1768</v>
      </c>
      <c r="O1010" t="str">
        <f>"460003199906192826"</f>
        <v>460003199906192826</v>
      </c>
    </row>
    <row r="1011" customFormat="1" spans="1:15">
      <c r="A1011">
        <v>1449</v>
      </c>
      <c r="B1011" t="s">
        <v>1769</v>
      </c>
      <c r="C1011" t="str">
        <f>"460003200201133928"</f>
        <v>460003200201133928</v>
      </c>
      <c r="D1011" t="str">
        <f>"248030202907"</f>
        <v>248030202907</v>
      </c>
      <c r="L1011">
        <v>1449</v>
      </c>
      <c r="M1011" t="s">
        <v>1769</v>
      </c>
      <c r="N1011" t="str">
        <f>"248030202907"</f>
        <v>248030202907</v>
      </c>
      <c r="O1011" t="str">
        <f>"460003200201133928"</f>
        <v>460003200201133928</v>
      </c>
    </row>
    <row r="1012" customFormat="1" spans="1:15">
      <c r="A1012">
        <v>1450</v>
      </c>
      <c r="B1012" t="s">
        <v>1770</v>
      </c>
      <c r="C1012" t="str">
        <f>"460002200110093821"</f>
        <v>460002200110093821</v>
      </c>
      <c r="D1012" t="str">
        <f>"248030103807"</f>
        <v>248030103807</v>
      </c>
      <c r="L1012">
        <v>1450</v>
      </c>
      <c r="M1012" t="s">
        <v>1770</v>
      </c>
      <c r="N1012" t="str">
        <f>"248030103807"</f>
        <v>248030103807</v>
      </c>
      <c r="O1012" t="str">
        <f>"460002200110093821"</f>
        <v>460002200110093821</v>
      </c>
    </row>
    <row r="1013" customFormat="1" spans="1:15">
      <c r="A1013">
        <v>1451</v>
      </c>
      <c r="B1013" t="s">
        <v>1771</v>
      </c>
      <c r="C1013" t="str">
        <f>"46002719961203732X"</f>
        <v>46002719961203732X</v>
      </c>
      <c r="L1013">
        <v>1451</v>
      </c>
      <c r="M1013" t="s">
        <v>1771</v>
      </c>
      <c r="O1013" t="str">
        <f>"46002719961203732X"</f>
        <v>46002719961203732X</v>
      </c>
    </row>
    <row r="1014" customFormat="1" spans="1:15">
      <c r="A1014">
        <v>1452</v>
      </c>
      <c r="B1014" t="s">
        <v>1772</v>
      </c>
      <c r="C1014" t="str">
        <f>"152528200005300040"</f>
        <v>152528200005300040</v>
      </c>
      <c r="D1014" t="str">
        <f>"248030503320"</f>
        <v>248030503320</v>
      </c>
      <c r="L1014">
        <v>1452</v>
      </c>
      <c r="M1014" t="s">
        <v>1772</v>
      </c>
      <c r="N1014" t="str">
        <f>"248030503320"</f>
        <v>248030503320</v>
      </c>
      <c r="O1014" t="str">
        <f>"152528200005300040"</f>
        <v>152528200005300040</v>
      </c>
    </row>
    <row r="1015" customFormat="1" spans="1:15">
      <c r="A1015">
        <v>1453</v>
      </c>
      <c r="B1015" t="s">
        <v>1773</v>
      </c>
      <c r="C1015" t="str">
        <f>"460200199705010274"</f>
        <v>460200199705010274</v>
      </c>
      <c r="D1015" t="str">
        <f>"248030201219"</f>
        <v>248030201219</v>
      </c>
      <c r="L1015">
        <v>1453</v>
      </c>
      <c r="M1015" t="s">
        <v>1773</v>
      </c>
      <c r="N1015" t="str">
        <f>"248030201219"</f>
        <v>248030201219</v>
      </c>
      <c r="O1015" t="str">
        <f>"460200199705010274"</f>
        <v>460200199705010274</v>
      </c>
    </row>
    <row r="1016" customFormat="1" spans="1:15">
      <c r="A1016">
        <v>1454</v>
      </c>
      <c r="B1016" t="s">
        <v>1774</v>
      </c>
      <c r="C1016" t="str">
        <f>"46010219970301122X"</f>
        <v>46010219970301122X</v>
      </c>
      <c r="D1016" t="str">
        <f>"248030101518"</f>
        <v>248030101518</v>
      </c>
      <c r="L1016">
        <v>1454</v>
      </c>
      <c r="M1016" t="s">
        <v>1774</v>
      </c>
      <c r="N1016" t="str">
        <f>"248030101518"</f>
        <v>248030101518</v>
      </c>
      <c r="O1016" t="str">
        <f>"46010219970301122X"</f>
        <v>46010219970301122X</v>
      </c>
    </row>
    <row r="1017" customFormat="1" spans="1:15">
      <c r="A1017">
        <v>1456</v>
      </c>
      <c r="B1017" t="s">
        <v>1775</v>
      </c>
      <c r="C1017" t="str">
        <f>"460036199505084530"</f>
        <v>460036199505084530</v>
      </c>
      <c r="L1017">
        <v>1456</v>
      </c>
      <c r="M1017" t="s">
        <v>1775</v>
      </c>
      <c r="O1017" t="str">
        <f>"460036199505084530"</f>
        <v>460036199505084530</v>
      </c>
    </row>
    <row r="1018" customFormat="1" spans="1:15">
      <c r="A1018">
        <v>1458</v>
      </c>
      <c r="B1018" t="s">
        <v>1776</v>
      </c>
      <c r="C1018" t="str">
        <f>"460007199105185787"</f>
        <v>460007199105185787</v>
      </c>
      <c r="D1018" t="str">
        <f>"248030500115"</f>
        <v>248030500115</v>
      </c>
      <c r="L1018">
        <v>1458</v>
      </c>
      <c r="M1018" t="s">
        <v>1776</v>
      </c>
      <c r="N1018" t="str">
        <f>"248030500115"</f>
        <v>248030500115</v>
      </c>
      <c r="O1018" t="str">
        <f>"460007199105185787"</f>
        <v>460007199105185787</v>
      </c>
    </row>
    <row r="1019" customFormat="1" spans="1:15">
      <c r="A1019">
        <v>1459</v>
      </c>
      <c r="B1019" t="s">
        <v>1777</v>
      </c>
      <c r="C1019" t="str">
        <f>"460032199510177648"</f>
        <v>460032199510177648</v>
      </c>
      <c r="D1019" t="str">
        <f>"248030301029"</f>
        <v>248030301029</v>
      </c>
      <c r="L1019">
        <v>1459</v>
      </c>
      <c r="M1019" t="s">
        <v>1777</v>
      </c>
      <c r="N1019" t="str">
        <f>"248030301029"</f>
        <v>248030301029</v>
      </c>
      <c r="O1019" t="str">
        <f>"460032199510177648"</f>
        <v>460032199510177648</v>
      </c>
    </row>
    <row r="1020" customFormat="1" spans="1:15">
      <c r="A1020">
        <v>1460</v>
      </c>
      <c r="B1020" t="s">
        <v>1588</v>
      </c>
      <c r="C1020" t="str">
        <f>"412825199104202548"</f>
        <v>412825199104202548</v>
      </c>
      <c r="L1020">
        <v>1460</v>
      </c>
      <c r="M1020" t="s">
        <v>1588</v>
      </c>
      <c r="O1020" t="str">
        <f>"412825199104202548"</f>
        <v>412825199104202548</v>
      </c>
    </row>
    <row r="1021" customFormat="1" spans="1:15">
      <c r="A1021">
        <v>1462</v>
      </c>
      <c r="B1021" t="s">
        <v>1778</v>
      </c>
      <c r="C1021" t="str">
        <f>"45072219980916372X"</f>
        <v>45072219980916372X</v>
      </c>
      <c r="D1021" t="str">
        <f>"248030401129"</f>
        <v>248030401129</v>
      </c>
      <c r="L1021">
        <v>1462</v>
      </c>
      <c r="M1021" t="s">
        <v>1778</v>
      </c>
      <c r="N1021" t="str">
        <f>"248030401129"</f>
        <v>248030401129</v>
      </c>
      <c r="O1021" t="str">
        <f>"45072219980916372X"</f>
        <v>45072219980916372X</v>
      </c>
    </row>
    <row r="1022" customFormat="1" spans="1:15">
      <c r="A1022">
        <v>1463</v>
      </c>
      <c r="B1022" t="s">
        <v>1779</v>
      </c>
      <c r="C1022" t="str">
        <f>"46000619941109342X"</f>
        <v>46000619941109342X</v>
      </c>
      <c r="D1022" t="str">
        <f>"248030503426"</f>
        <v>248030503426</v>
      </c>
      <c r="L1022">
        <v>1463</v>
      </c>
      <c r="M1022" t="s">
        <v>1779</v>
      </c>
      <c r="N1022" t="str">
        <f>"248030503426"</f>
        <v>248030503426</v>
      </c>
      <c r="O1022" t="str">
        <f>"46000619941109342X"</f>
        <v>46000619941109342X</v>
      </c>
    </row>
    <row r="1023" customFormat="1" spans="1:15">
      <c r="A1023">
        <v>1464</v>
      </c>
      <c r="B1023" t="s">
        <v>1780</v>
      </c>
      <c r="C1023" t="str">
        <f>"460004199701015021"</f>
        <v>460004199701015021</v>
      </c>
      <c r="D1023" t="str">
        <f>"248030104123"</f>
        <v>248030104123</v>
      </c>
      <c r="L1023">
        <v>1464</v>
      </c>
      <c r="M1023" t="s">
        <v>1780</v>
      </c>
      <c r="N1023" t="str">
        <f>"248030104123"</f>
        <v>248030104123</v>
      </c>
      <c r="O1023" t="str">
        <f>"460004199701015021"</f>
        <v>460004199701015021</v>
      </c>
    </row>
    <row r="1024" customFormat="1" spans="1:15">
      <c r="A1024">
        <v>1465</v>
      </c>
      <c r="B1024" t="s">
        <v>1781</v>
      </c>
      <c r="C1024" t="str">
        <f>"460026200103310024"</f>
        <v>460026200103310024</v>
      </c>
      <c r="D1024" t="str">
        <f>"248030500306"</f>
        <v>248030500306</v>
      </c>
      <c r="L1024">
        <v>1465</v>
      </c>
      <c r="M1024" t="s">
        <v>1781</v>
      </c>
      <c r="N1024" t="str">
        <f>"248030500306"</f>
        <v>248030500306</v>
      </c>
      <c r="O1024" t="str">
        <f>"460026200103310024"</f>
        <v>460026200103310024</v>
      </c>
    </row>
    <row r="1025" customFormat="1" spans="1:15">
      <c r="A1025">
        <v>1466</v>
      </c>
      <c r="B1025" t="s">
        <v>1782</v>
      </c>
      <c r="C1025" t="str">
        <f>"469003199809165621"</f>
        <v>469003199809165621</v>
      </c>
      <c r="D1025" t="str">
        <f>"248030202607"</f>
        <v>248030202607</v>
      </c>
      <c r="L1025">
        <v>1466</v>
      </c>
      <c r="M1025" t="s">
        <v>1782</v>
      </c>
      <c r="N1025" t="str">
        <f>"248030202607"</f>
        <v>248030202607</v>
      </c>
      <c r="O1025" t="str">
        <f>"469003199809165621"</f>
        <v>469003199809165621</v>
      </c>
    </row>
    <row r="1026" customFormat="1" spans="1:15">
      <c r="A1026">
        <v>1470</v>
      </c>
      <c r="B1026" t="s">
        <v>1783</v>
      </c>
      <c r="C1026" t="str">
        <f>"152725199201150349"</f>
        <v>152725199201150349</v>
      </c>
      <c r="D1026" t="str">
        <f>"248030401123"</f>
        <v>248030401123</v>
      </c>
      <c r="L1026">
        <v>1470</v>
      </c>
      <c r="M1026" t="s">
        <v>1783</v>
      </c>
      <c r="N1026" t="str">
        <f>"248030401123"</f>
        <v>248030401123</v>
      </c>
      <c r="O1026" t="str">
        <f>"152725199201150349"</f>
        <v>152725199201150349</v>
      </c>
    </row>
    <row r="1027" customFormat="1" spans="1:15">
      <c r="A1027">
        <v>1471</v>
      </c>
      <c r="B1027" t="s">
        <v>1784</v>
      </c>
      <c r="C1027" t="str">
        <f>"142703198509282124"</f>
        <v>142703198509282124</v>
      </c>
      <c r="L1027">
        <v>1471</v>
      </c>
      <c r="M1027" t="s">
        <v>1784</v>
      </c>
      <c r="O1027" t="str">
        <f>"142703198509282124"</f>
        <v>142703198509282124</v>
      </c>
    </row>
    <row r="1028" customFormat="1" spans="1:15">
      <c r="A1028">
        <v>1473</v>
      </c>
      <c r="B1028" t="s">
        <v>1785</v>
      </c>
      <c r="C1028" t="str">
        <f>"460103200011163021"</f>
        <v>460103200011163021</v>
      </c>
      <c r="D1028" t="str">
        <f>"248030400220"</f>
        <v>248030400220</v>
      </c>
      <c r="L1028">
        <v>1473</v>
      </c>
      <c r="M1028" t="s">
        <v>1785</v>
      </c>
      <c r="N1028" t="str">
        <f>"248030400220"</f>
        <v>248030400220</v>
      </c>
      <c r="O1028" t="str">
        <f>"460103200011163021"</f>
        <v>460103200011163021</v>
      </c>
    </row>
    <row r="1029" customFormat="1" spans="1:15">
      <c r="A1029">
        <v>1474</v>
      </c>
      <c r="B1029" t="s">
        <v>1786</v>
      </c>
      <c r="C1029" t="str">
        <f>"460028200103305623"</f>
        <v>460028200103305623</v>
      </c>
      <c r="D1029" t="str">
        <f>"248030300702"</f>
        <v>248030300702</v>
      </c>
      <c r="L1029">
        <v>1474</v>
      </c>
      <c r="M1029" t="s">
        <v>1786</v>
      </c>
      <c r="N1029" t="str">
        <f>"248030300702"</f>
        <v>248030300702</v>
      </c>
      <c r="O1029" t="str">
        <f>"460028200103305623"</f>
        <v>460028200103305623</v>
      </c>
    </row>
    <row r="1030" customFormat="1" spans="1:15">
      <c r="A1030">
        <v>1475</v>
      </c>
      <c r="B1030" t="s">
        <v>1787</v>
      </c>
      <c r="C1030" t="str">
        <f>"410481199509269027"</f>
        <v>410481199509269027</v>
      </c>
      <c r="D1030" t="str">
        <f>"248030401001"</f>
        <v>248030401001</v>
      </c>
      <c r="L1030">
        <v>1475</v>
      </c>
      <c r="M1030" t="s">
        <v>1787</v>
      </c>
      <c r="N1030" t="str">
        <f>"248030401001"</f>
        <v>248030401001</v>
      </c>
      <c r="O1030" t="str">
        <f>"410481199509269027"</f>
        <v>410481199509269027</v>
      </c>
    </row>
    <row r="1031" customFormat="1" spans="1:15">
      <c r="A1031">
        <v>1476</v>
      </c>
      <c r="B1031" t="s">
        <v>1788</v>
      </c>
      <c r="C1031" t="str">
        <f>"460006199705040921"</f>
        <v>460006199705040921</v>
      </c>
      <c r="D1031" t="str">
        <f>"248030200823"</f>
        <v>248030200823</v>
      </c>
      <c r="L1031">
        <v>1476</v>
      </c>
      <c r="M1031" t="s">
        <v>1788</v>
      </c>
      <c r="N1031" t="str">
        <f>"248030200823"</f>
        <v>248030200823</v>
      </c>
      <c r="O1031" t="str">
        <f>"460006199705040921"</f>
        <v>460006199705040921</v>
      </c>
    </row>
    <row r="1032" customFormat="1" spans="1:15">
      <c r="A1032">
        <v>1477</v>
      </c>
      <c r="B1032" t="s">
        <v>1789</v>
      </c>
      <c r="C1032" t="str">
        <f>"431230199509195121"</f>
        <v>431230199509195121</v>
      </c>
      <c r="D1032" t="str">
        <f>"248030203206"</f>
        <v>248030203206</v>
      </c>
      <c r="L1032">
        <v>1477</v>
      </c>
      <c r="M1032" t="s">
        <v>1789</v>
      </c>
      <c r="N1032" t="str">
        <f>"248030203206"</f>
        <v>248030203206</v>
      </c>
      <c r="O1032" t="str">
        <f>"431230199509195121"</f>
        <v>431230199509195121</v>
      </c>
    </row>
    <row r="1033" customFormat="1" spans="1:15">
      <c r="A1033">
        <v>1478</v>
      </c>
      <c r="B1033" t="s">
        <v>1790</v>
      </c>
      <c r="C1033" t="str">
        <f>"460004199503216025"</f>
        <v>460004199503216025</v>
      </c>
      <c r="D1033" t="str">
        <f>"248030502708"</f>
        <v>248030502708</v>
      </c>
      <c r="L1033">
        <v>1478</v>
      </c>
      <c r="M1033" t="s">
        <v>1790</v>
      </c>
      <c r="N1033" t="str">
        <f>"248030502708"</f>
        <v>248030502708</v>
      </c>
      <c r="O1033" t="str">
        <f>"460004199503216025"</f>
        <v>460004199503216025</v>
      </c>
    </row>
    <row r="1034" customFormat="1" spans="1:15">
      <c r="A1034">
        <v>1479</v>
      </c>
      <c r="B1034" t="s">
        <v>1791</v>
      </c>
      <c r="C1034" t="str">
        <f>"469022200012080027"</f>
        <v>469022200012080027</v>
      </c>
      <c r="D1034" t="str">
        <f>"248030301308"</f>
        <v>248030301308</v>
      </c>
      <c r="L1034">
        <v>1479</v>
      </c>
      <c r="M1034" t="s">
        <v>1791</v>
      </c>
      <c r="N1034" t="str">
        <f>"248030301308"</f>
        <v>248030301308</v>
      </c>
      <c r="O1034" t="str">
        <f>"469022200012080027"</f>
        <v>469022200012080027</v>
      </c>
    </row>
    <row r="1035" customFormat="1" spans="1:15">
      <c r="A1035">
        <v>1480</v>
      </c>
      <c r="B1035" t="s">
        <v>1792</v>
      </c>
      <c r="C1035" t="str">
        <f>"220103199703214125"</f>
        <v>220103199703214125</v>
      </c>
      <c r="D1035" t="str">
        <f>"248030203410"</f>
        <v>248030203410</v>
      </c>
      <c r="L1035">
        <v>1480</v>
      </c>
      <c r="M1035" t="s">
        <v>1792</v>
      </c>
      <c r="N1035" t="str">
        <f>"248030203410"</f>
        <v>248030203410</v>
      </c>
      <c r="O1035" t="str">
        <f>"220103199703214125"</f>
        <v>220103199703214125</v>
      </c>
    </row>
    <row r="1036" customFormat="1" spans="1:15">
      <c r="A1036">
        <v>1482</v>
      </c>
      <c r="B1036" t="s">
        <v>1793</v>
      </c>
      <c r="C1036" t="str">
        <f>"360121199811296424"</f>
        <v>360121199811296424</v>
      </c>
      <c r="D1036" t="str">
        <f>"248030203121"</f>
        <v>248030203121</v>
      </c>
      <c r="L1036">
        <v>1482</v>
      </c>
      <c r="M1036" t="s">
        <v>1793</v>
      </c>
      <c r="N1036" t="str">
        <f>"248030203121"</f>
        <v>248030203121</v>
      </c>
      <c r="O1036" t="str">
        <f>"360121199811296424"</f>
        <v>360121199811296424</v>
      </c>
    </row>
    <row r="1037" customFormat="1" spans="1:15">
      <c r="A1037">
        <v>1483</v>
      </c>
      <c r="B1037" t="s">
        <v>1794</v>
      </c>
      <c r="C1037" t="str">
        <f>"460030199411205444"</f>
        <v>460030199411205444</v>
      </c>
      <c r="D1037" t="str">
        <f>"248030500122"</f>
        <v>248030500122</v>
      </c>
      <c r="L1037">
        <v>1483</v>
      </c>
      <c r="M1037" t="s">
        <v>1794</v>
      </c>
      <c r="N1037" t="str">
        <f>"248030500122"</f>
        <v>248030500122</v>
      </c>
      <c r="O1037" t="str">
        <f>"460030199411205444"</f>
        <v>460030199411205444</v>
      </c>
    </row>
    <row r="1038" customFormat="1" spans="1:15">
      <c r="A1038">
        <v>1484</v>
      </c>
      <c r="B1038" t="s">
        <v>1795</v>
      </c>
      <c r="C1038" t="str">
        <f>"440825199308311184"</f>
        <v>440825199308311184</v>
      </c>
      <c r="L1038">
        <v>1484</v>
      </c>
      <c r="M1038" t="s">
        <v>1795</v>
      </c>
      <c r="O1038" t="str">
        <f>"440825199308311184"</f>
        <v>440825199308311184</v>
      </c>
    </row>
    <row r="1039" customFormat="1" spans="1:15">
      <c r="A1039">
        <v>1485</v>
      </c>
      <c r="B1039" t="s">
        <v>1796</v>
      </c>
      <c r="C1039" t="str">
        <f>"460031199705086440"</f>
        <v>460031199705086440</v>
      </c>
      <c r="D1039" t="str">
        <f>"248030400326"</f>
        <v>248030400326</v>
      </c>
      <c r="L1039">
        <v>1485</v>
      </c>
      <c r="M1039" t="s">
        <v>1796</v>
      </c>
      <c r="N1039" t="str">
        <f>"248030400326"</f>
        <v>248030400326</v>
      </c>
      <c r="O1039" t="str">
        <f>"460031199705086440"</f>
        <v>460031199705086440</v>
      </c>
    </row>
    <row r="1040" customFormat="1" spans="1:15">
      <c r="A1040">
        <v>1486</v>
      </c>
      <c r="B1040" t="s">
        <v>1797</v>
      </c>
      <c r="C1040" t="str">
        <f>"460102199405293329"</f>
        <v>460102199405293329</v>
      </c>
      <c r="L1040">
        <v>1486</v>
      </c>
      <c r="M1040" t="s">
        <v>1797</v>
      </c>
      <c r="O1040" t="str">
        <f>"460102199405293329"</f>
        <v>460102199405293329</v>
      </c>
    </row>
    <row r="1041" customFormat="1" spans="1:15">
      <c r="A1041">
        <v>1487</v>
      </c>
      <c r="B1041" t="s">
        <v>1798</v>
      </c>
      <c r="C1041" t="str">
        <f>"460102199910012727"</f>
        <v>460102199910012727</v>
      </c>
      <c r="D1041" t="str">
        <f>"248030403204"</f>
        <v>248030403204</v>
      </c>
      <c r="L1041">
        <v>1487</v>
      </c>
      <c r="M1041" t="s">
        <v>1798</v>
      </c>
      <c r="N1041" t="str">
        <f>"248030403204"</f>
        <v>248030403204</v>
      </c>
      <c r="O1041" t="str">
        <f>"460102199910012727"</f>
        <v>460102199910012727</v>
      </c>
    </row>
    <row r="1042" customFormat="1" spans="1:15">
      <c r="A1042">
        <v>1488</v>
      </c>
      <c r="B1042" t="s">
        <v>1799</v>
      </c>
      <c r="C1042" t="str">
        <f>"140202199004222029"</f>
        <v>140202199004222029</v>
      </c>
      <c r="L1042">
        <v>1488</v>
      </c>
      <c r="M1042" t="s">
        <v>1799</v>
      </c>
      <c r="O1042" t="str">
        <f>"140202199004222029"</f>
        <v>140202199004222029</v>
      </c>
    </row>
    <row r="1043" customFormat="1" spans="1:15">
      <c r="A1043">
        <v>1490</v>
      </c>
      <c r="B1043" t="s">
        <v>1800</v>
      </c>
      <c r="C1043" t="str">
        <f>"460027199110070648"</f>
        <v>460027199110070648</v>
      </c>
      <c r="D1043" t="str">
        <f>"248030402128"</f>
        <v>248030402128</v>
      </c>
      <c r="L1043">
        <v>1490</v>
      </c>
      <c r="M1043" t="s">
        <v>1800</v>
      </c>
      <c r="N1043" t="str">
        <f>"248030402128"</f>
        <v>248030402128</v>
      </c>
      <c r="O1043" t="str">
        <f>"460027199110070648"</f>
        <v>460027199110070648</v>
      </c>
    </row>
    <row r="1044" customFormat="1" spans="1:15">
      <c r="A1044">
        <v>1491</v>
      </c>
      <c r="B1044" t="s">
        <v>1801</v>
      </c>
      <c r="C1044" t="str">
        <f>"220702199610105823"</f>
        <v>220702199610105823</v>
      </c>
      <c r="L1044">
        <v>1491</v>
      </c>
      <c r="M1044" t="s">
        <v>1801</v>
      </c>
      <c r="O1044" t="str">
        <f>"220702199610105823"</f>
        <v>220702199610105823</v>
      </c>
    </row>
    <row r="1045" customFormat="1" spans="1:15">
      <c r="A1045">
        <v>1492</v>
      </c>
      <c r="B1045" t="s">
        <v>1802</v>
      </c>
      <c r="C1045" t="str">
        <f>"460007200106095367"</f>
        <v>460007200106095367</v>
      </c>
      <c r="D1045" t="str">
        <f>"248030203805"</f>
        <v>248030203805</v>
      </c>
      <c r="L1045">
        <v>1492</v>
      </c>
      <c r="M1045" t="s">
        <v>1802</v>
      </c>
      <c r="N1045" t="str">
        <f>"248030203805"</f>
        <v>248030203805</v>
      </c>
      <c r="O1045" t="str">
        <f>"460007200106095367"</f>
        <v>460007200106095367</v>
      </c>
    </row>
    <row r="1046" customFormat="1" spans="1:15">
      <c r="A1046">
        <v>1494</v>
      </c>
      <c r="B1046" t="s">
        <v>1803</v>
      </c>
      <c r="C1046" t="str">
        <f>"440921199905300846"</f>
        <v>440921199905300846</v>
      </c>
      <c r="L1046">
        <v>1494</v>
      </c>
      <c r="M1046" t="s">
        <v>1803</v>
      </c>
      <c r="O1046" t="str">
        <f>"440921199905300846"</f>
        <v>440921199905300846</v>
      </c>
    </row>
    <row r="1047" customFormat="1" spans="1:15">
      <c r="A1047">
        <v>1495</v>
      </c>
      <c r="B1047" t="s">
        <v>1804</v>
      </c>
      <c r="C1047" t="str">
        <f>"46010419970711152X"</f>
        <v>46010419970711152X</v>
      </c>
      <c r="D1047" t="str">
        <f>"248030101924"</f>
        <v>248030101924</v>
      </c>
      <c r="L1047">
        <v>1495</v>
      </c>
      <c r="M1047" t="s">
        <v>1804</v>
      </c>
      <c r="N1047" t="str">
        <f>"248030101924"</f>
        <v>248030101924</v>
      </c>
      <c r="O1047" t="str">
        <f>"46010419970711152X"</f>
        <v>46010419970711152X</v>
      </c>
    </row>
    <row r="1048" customFormat="1" spans="1:15">
      <c r="A1048">
        <v>1498</v>
      </c>
      <c r="B1048" t="s">
        <v>1805</v>
      </c>
      <c r="C1048" t="str">
        <f>"460006199607190627"</f>
        <v>460006199607190627</v>
      </c>
      <c r="L1048">
        <v>1498</v>
      </c>
      <c r="M1048" t="s">
        <v>1805</v>
      </c>
      <c r="O1048" t="str">
        <f>"460006199607190627"</f>
        <v>460006199607190627</v>
      </c>
    </row>
    <row r="1049" customFormat="1" spans="1:15">
      <c r="A1049">
        <v>1499</v>
      </c>
      <c r="B1049" t="s">
        <v>1806</v>
      </c>
      <c r="C1049" t="str">
        <f>"460004199608235249"</f>
        <v>460004199608235249</v>
      </c>
      <c r="D1049" t="str">
        <f>"248030400119"</f>
        <v>248030400119</v>
      </c>
      <c r="L1049">
        <v>1499</v>
      </c>
      <c r="M1049" t="s">
        <v>1806</v>
      </c>
      <c r="N1049" t="str">
        <f>"248030400119"</f>
        <v>248030400119</v>
      </c>
      <c r="O1049" t="str">
        <f>"460004199608235249"</f>
        <v>460004199608235249</v>
      </c>
    </row>
    <row r="1050" customFormat="1" spans="1:15">
      <c r="A1050">
        <v>1500</v>
      </c>
      <c r="B1050" t="s">
        <v>1807</v>
      </c>
      <c r="C1050" t="str">
        <f>"460004199807064040"</f>
        <v>460004199807064040</v>
      </c>
      <c r="D1050" t="str">
        <f>"248030503926"</f>
        <v>248030503926</v>
      </c>
      <c r="L1050">
        <v>1500</v>
      </c>
      <c r="M1050" t="s">
        <v>1807</v>
      </c>
      <c r="N1050" t="str">
        <f>"248030503926"</f>
        <v>248030503926</v>
      </c>
      <c r="O1050" t="str">
        <f>"460004199807064040"</f>
        <v>460004199807064040</v>
      </c>
    </row>
    <row r="1051" customFormat="1" spans="1:15">
      <c r="A1051">
        <v>1502</v>
      </c>
      <c r="B1051" t="s">
        <v>1808</v>
      </c>
      <c r="C1051" t="str">
        <f>"469007199509128023"</f>
        <v>469007199509128023</v>
      </c>
      <c r="D1051" t="str">
        <f>"248030203615"</f>
        <v>248030203615</v>
      </c>
      <c r="L1051">
        <v>1502</v>
      </c>
      <c r="M1051" t="s">
        <v>1808</v>
      </c>
      <c r="N1051" t="str">
        <f>"248030203615"</f>
        <v>248030203615</v>
      </c>
      <c r="O1051" t="str">
        <f>"469007199509128023"</f>
        <v>469007199509128023</v>
      </c>
    </row>
    <row r="1052" customFormat="1" spans="1:15">
      <c r="A1052">
        <v>1503</v>
      </c>
      <c r="B1052" t="s">
        <v>1809</v>
      </c>
      <c r="C1052" t="str">
        <f>"430903200111120326"</f>
        <v>430903200111120326</v>
      </c>
      <c r="D1052" t="str">
        <f>"248030203428"</f>
        <v>248030203428</v>
      </c>
      <c r="L1052">
        <v>1503</v>
      </c>
      <c r="M1052" t="s">
        <v>1809</v>
      </c>
      <c r="N1052" t="str">
        <f>"248030203428"</f>
        <v>248030203428</v>
      </c>
      <c r="O1052" t="str">
        <f>"430903200111120326"</f>
        <v>430903200111120326</v>
      </c>
    </row>
    <row r="1053" customFormat="1" spans="1:15">
      <c r="A1053">
        <v>1504</v>
      </c>
      <c r="B1053" t="s">
        <v>1810</v>
      </c>
      <c r="C1053" t="str">
        <f>"511102199109062046"</f>
        <v>511102199109062046</v>
      </c>
      <c r="L1053">
        <v>1504</v>
      </c>
      <c r="M1053" t="s">
        <v>1810</v>
      </c>
      <c r="O1053" t="str">
        <f>"511102199109062046"</f>
        <v>511102199109062046</v>
      </c>
    </row>
    <row r="1054" customFormat="1" spans="1:15">
      <c r="A1054">
        <v>1505</v>
      </c>
      <c r="B1054" t="s">
        <v>1811</v>
      </c>
      <c r="C1054" t="str">
        <f>"460007199410107224"</f>
        <v>460007199410107224</v>
      </c>
      <c r="D1054" t="str">
        <f>"248030200521"</f>
        <v>248030200521</v>
      </c>
      <c r="L1054">
        <v>1505</v>
      </c>
      <c r="M1054" t="s">
        <v>1811</v>
      </c>
      <c r="N1054" t="str">
        <f>"248030200521"</f>
        <v>248030200521</v>
      </c>
      <c r="O1054" t="str">
        <f>"460007199410107224"</f>
        <v>460007199410107224</v>
      </c>
    </row>
    <row r="1055" customFormat="1" spans="1:15">
      <c r="A1055">
        <v>1506</v>
      </c>
      <c r="B1055" t="s">
        <v>1812</v>
      </c>
      <c r="C1055" t="str">
        <f>"460033199208246282"</f>
        <v>460033199208246282</v>
      </c>
      <c r="D1055" t="str">
        <f>"248030203023"</f>
        <v>248030203023</v>
      </c>
      <c r="L1055">
        <v>1506</v>
      </c>
      <c r="M1055" t="s">
        <v>1812</v>
      </c>
      <c r="N1055" t="str">
        <f>"248030203023"</f>
        <v>248030203023</v>
      </c>
      <c r="O1055" t="str">
        <f>"460033199208246282"</f>
        <v>460033199208246282</v>
      </c>
    </row>
    <row r="1056" customFormat="1" spans="1:15">
      <c r="A1056">
        <v>1507</v>
      </c>
      <c r="B1056" t="s">
        <v>447</v>
      </c>
      <c r="C1056" t="str">
        <f>"460007199409057629"</f>
        <v>460007199409057629</v>
      </c>
      <c r="D1056" t="str">
        <f>"248030400105"</f>
        <v>248030400105</v>
      </c>
      <c r="L1056">
        <v>1507</v>
      </c>
      <c r="M1056" t="s">
        <v>447</v>
      </c>
      <c r="N1056" t="str">
        <f>"248030400105"</f>
        <v>248030400105</v>
      </c>
      <c r="O1056" t="str">
        <f>"460007199409057629"</f>
        <v>460007199409057629</v>
      </c>
    </row>
    <row r="1057" customFormat="1" spans="1:15">
      <c r="A1057">
        <v>1508</v>
      </c>
      <c r="B1057" t="s">
        <v>1813</v>
      </c>
      <c r="C1057" t="str">
        <f>"460027199702010024"</f>
        <v>460027199702010024</v>
      </c>
      <c r="D1057" t="str">
        <f>"248030502105"</f>
        <v>248030502105</v>
      </c>
      <c r="L1057">
        <v>1508</v>
      </c>
      <c r="M1057" t="s">
        <v>1813</v>
      </c>
      <c r="N1057" t="str">
        <f>"248030502105"</f>
        <v>248030502105</v>
      </c>
      <c r="O1057" t="str">
        <f>"460027199702010024"</f>
        <v>460027199702010024</v>
      </c>
    </row>
    <row r="1058" customFormat="1" spans="1:15">
      <c r="A1058">
        <v>1509</v>
      </c>
      <c r="B1058" t="s">
        <v>1814</v>
      </c>
      <c r="C1058" t="str">
        <f>"460003199610054221"</f>
        <v>460003199610054221</v>
      </c>
      <c r="D1058" t="str">
        <f>"248030200525"</f>
        <v>248030200525</v>
      </c>
      <c r="L1058">
        <v>1509</v>
      </c>
      <c r="M1058" t="s">
        <v>1814</v>
      </c>
      <c r="N1058" t="str">
        <f>"248030200525"</f>
        <v>248030200525</v>
      </c>
      <c r="O1058" t="str">
        <f>"460003199610054221"</f>
        <v>460003199610054221</v>
      </c>
    </row>
    <row r="1059" customFormat="1" spans="1:15">
      <c r="A1059">
        <v>1511</v>
      </c>
      <c r="B1059" t="s">
        <v>1815</v>
      </c>
      <c r="C1059" t="str">
        <f>"469003199710162412"</f>
        <v>469003199710162412</v>
      </c>
      <c r="L1059">
        <v>1511</v>
      </c>
      <c r="M1059" t="s">
        <v>1815</v>
      </c>
      <c r="O1059" t="str">
        <f>"469003199710162412"</f>
        <v>469003199710162412</v>
      </c>
    </row>
    <row r="1060" customFormat="1" spans="1:15">
      <c r="A1060">
        <v>1512</v>
      </c>
      <c r="B1060" t="s">
        <v>1816</v>
      </c>
      <c r="C1060" t="str">
        <f>"500236200205173792"</f>
        <v>500236200205173792</v>
      </c>
      <c r="D1060" t="str">
        <f>"248030301829"</f>
        <v>248030301829</v>
      </c>
      <c r="L1060">
        <v>1512</v>
      </c>
      <c r="M1060" t="s">
        <v>1816</v>
      </c>
      <c r="N1060" t="str">
        <f>"248030301829"</f>
        <v>248030301829</v>
      </c>
      <c r="O1060" t="str">
        <f>"500236200205173792"</f>
        <v>500236200205173792</v>
      </c>
    </row>
    <row r="1061" customFormat="1" spans="1:15">
      <c r="A1061">
        <v>1513</v>
      </c>
      <c r="B1061" t="s">
        <v>1817</v>
      </c>
      <c r="C1061" t="str">
        <f>"460005199605263021"</f>
        <v>460005199605263021</v>
      </c>
      <c r="D1061" t="str">
        <f>"248030503201"</f>
        <v>248030503201</v>
      </c>
      <c r="L1061">
        <v>1513</v>
      </c>
      <c r="M1061" t="s">
        <v>1817</v>
      </c>
      <c r="N1061" t="str">
        <f>"248030503201"</f>
        <v>248030503201</v>
      </c>
      <c r="O1061" t="str">
        <f>"460005199605263021"</f>
        <v>460005199605263021</v>
      </c>
    </row>
    <row r="1062" customFormat="1" spans="1:15">
      <c r="A1062">
        <v>1514</v>
      </c>
      <c r="B1062" t="s">
        <v>1818</v>
      </c>
      <c r="C1062" t="str">
        <f>"460003199608190822"</f>
        <v>460003199608190822</v>
      </c>
      <c r="L1062">
        <v>1514</v>
      </c>
      <c r="M1062" t="s">
        <v>1818</v>
      </c>
      <c r="O1062" t="str">
        <f>"460003199608190822"</f>
        <v>460003199608190822</v>
      </c>
    </row>
    <row r="1063" customFormat="1" spans="1:15">
      <c r="A1063">
        <v>1515</v>
      </c>
      <c r="B1063" t="s">
        <v>1819</v>
      </c>
      <c r="C1063" t="str">
        <f>"460026200103071828"</f>
        <v>460026200103071828</v>
      </c>
      <c r="D1063" t="str">
        <f>"248030102519"</f>
        <v>248030102519</v>
      </c>
      <c r="L1063">
        <v>1515</v>
      </c>
      <c r="M1063" t="s">
        <v>1819</v>
      </c>
      <c r="N1063" t="str">
        <f>"248030102519"</f>
        <v>248030102519</v>
      </c>
      <c r="O1063" t="str">
        <f>"460026200103071828"</f>
        <v>460026200103071828</v>
      </c>
    </row>
    <row r="1064" customFormat="1" spans="1:15">
      <c r="A1064">
        <v>1516</v>
      </c>
      <c r="B1064" t="s">
        <v>1820</v>
      </c>
      <c r="C1064" t="str">
        <f>"460028200009017625"</f>
        <v>460028200009017625</v>
      </c>
      <c r="D1064" t="str">
        <f>"248030102823"</f>
        <v>248030102823</v>
      </c>
      <c r="L1064">
        <v>1516</v>
      </c>
      <c r="M1064" t="s">
        <v>1820</v>
      </c>
      <c r="N1064" t="str">
        <f>"248030102823"</f>
        <v>248030102823</v>
      </c>
      <c r="O1064" t="str">
        <f>"460028200009017625"</f>
        <v>460028200009017625</v>
      </c>
    </row>
    <row r="1065" customFormat="1" spans="1:15">
      <c r="A1065">
        <v>1517</v>
      </c>
      <c r="B1065" t="s">
        <v>1821</v>
      </c>
      <c r="C1065" t="str">
        <f>"460102199210010317"</f>
        <v>460102199210010317</v>
      </c>
      <c r="L1065">
        <v>1517</v>
      </c>
      <c r="M1065" t="s">
        <v>1821</v>
      </c>
      <c r="O1065" t="str">
        <f>"460102199210010317"</f>
        <v>460102199210010317</v>
      </c>
    </row>
    <row r="1066" customFormat="1" spans="1:15">
      <c r="A1066">
        <v>1518</v>
      </c>
      <c r="B1066" t="s">
        <v>1822</v>
      </c>
      <c r="C1066" t="str">
        <f>"142701198911147526"</f>
        <v>142701198911147526</v>
      </c>
      <c r="D1066" t="str">
        <f>"248030200804"</f>
        <v>248030200804</v>
      </c>
      <c r="L1066">
        <v>1518</v>
      </c>
      <c r="M1066" t="s">
        <v>1822</v>
      </c>
      <c r="N1066" t="str">
        <f>"248030200804"</f>
        <v>248030200804</v>
      </c>
      <c r="O1066" t="str">
        <f>"142701198911147526"</f>
        <v>142701198911147526</v>
      </c>
    </row>
    <row r="1067" customFormat="1" spans="1:15">
      <c r="A1067">
        <v>1519</v>
      </c>
      <c r="B1067" t="s">
        <v>1823</v>
      </c>
      <c r="C1067" t="str">
        <f>"460007199908125809"</f>
        <v>460007199908125809</v>
      </c>
      <c r="D1067" t="str">
        <f>"248030402723"</f>
        <v>248030402723</v>
      </c>
      <c r="L1067">
        <v>1519</v>
      </c>
      <c r="M1067" t="s">
        <v>1823</v>
      </c>
      <c r="N1067" t="str">
        <f>"248030402723"</f>
        <v>248030402723</v>
      </c>
      <c r="O1067" t="str">
        <f>"460007199908125809"</f>
        <v>460007199908125809</v>
      </c>
    </row>
    <row r="1068" customFormat="1" spans="1:15">
      <c r="A1068">
        <v>1520</v>
      </c>
      <c r="B1068" t="s">
        <v>1824</v>
      </c>
      <c r="C1068" t="str">
        <f>"460028199212080907"</f>
        <v>460028199212080907</v>
      </c>
      <c r="L1068">
        <v>1520</v>
      </c>
      <c r="M1068" t="s">
        <v>1824</v>
      </c>
      <c r="O1068" t="str">
        <f>"460028199212080907"</f>
        <v>460028199212080907</v>
      </c>
    </row>
    <row r="1069" customFormat="1" spans="1:15">
      <c r="A1069">
        <v>1523</v>
      </c>
      <c r="B1069" t="s">
        <v>1825</v>
      </c>
      <c r="C1069" t="str">
        <f>"460025199711100029"</f>
        <v>460025199711100029</v>
      </c>
      <c r="L1069">
        <v>1523</v>
      </c>
      <c r="M1069" t="s">
        <v>1825</v>
      </c>
      <c r="O1069" t="str">
        <f>"460025199711100029"</f>
        <v>460025199711100029</v>
      </c>
    </row>
    <row r="1070" customFormat="1" spans="1:15">
      <c r="A1070">
        <v>1524</v>
      </c>
      <c r="B1070" t="s">
        <v>1826</v>
      </c>
      <c r="C1070" t="str">
        <f>"46003319930725750X"</f>
        <v>46003319930725750X</v>
      </c>
      <c r="L1070">
        <v>1524</v>
      </c>
      <c r="M1070" t="s">
        <v>1826</v>
      </c>
      <c r="O1070" t="str">
        <f>"46003319930725750X"</f>
        <v>46003319930725750X</v>
      </c>
    </row>
    <row r="1071" customFormat="1" spans="1:15">
      <c r="A1071">
        <v>1526</v>
      </c>
      <c r="B1071" t="s">
        <v>1827</v>
      </c>
      <c r="C1071" t="str">
        <f>"460027199507132923"</f>
        <v>460027199507132923</v>
      </c>
      <c r="D1071" t="str">
        <f>"248030400517"</f>
        <v>248030400517</v>
      </c>
      <c r="L1071">
        <v>1526</v>
      </c>
      <c r="M1071" t="s">
        <v>1827</v>
      </c>
      <c r="N1071" t="str">
        <f>"248030400517"</f>
        <v>248030400517</v>
      </c>
      <c r="O1071" t="str">
        <f>"460027199507132923"</f>
        <v>460027199507132923</v>
      </c>
    </row>
    <row r="1072" customFormat="1" spans="1:15">
      <c r="A1072">
        <v>1530</v>
      </c>
      <c r="B1072" t="s">
        <v>1828</v>
      </c>
      <c r="C1072" t="str">
        <f>"460004200210241230"</f>
        <v>460004200210241230</v>
      </c>
      <c r="D1072" t="str">
        <f>"248030401813"</f>
        <v>248030401813</v>
      </c>
      <c r="L1072">
        <v>1530</v>
      </c>
      <c r="M1072" t="s">
        <v>1828</v>
      </c>
      <c r="N1072" t="str">
        <f>"248030401813"</f>
        <v>248030401813</v>
      </c>
      <c r="O1072" t="str">
        <f>"460004200210241230"</f>
        <v>460004200210241230</v>
      </c>
    </row>
    <row r="1073" customFormat="1" spans="1:15">
      <c r="A1073">
        <v>1535</v>
      </c>
      <c r="B1073" t="s">
        <v>1829</v>
      </c>
      <c r="C1073" t="str">
        <f>"220122199410195329"</f>
        <v>220122199410195329</v>
      </c>
      <c r="D1073" t="str">
        <f>"248030104610"</f>
        <v>248030104610</v>
      </c>
      <c r="L1073">
        <v>1535</v>
      </c>
      <c r="M1073" t="s">
        <v>1829</v>
      </c>
      <c r="N1073" t="str">
        <f>"248030104610"</f>
        <v>248030104610</v>
      </c>
      <c r="O1073" t="str">
        <f>"220122199410195329"</f>
        <v>220122199410195329</v>
      </c>
    </row>
    <row r="1074" customFormat="1" spans="1:15">
      <c r="A1074">
        <v>1536</v>
      </c>
      <c r="B1074" t="s">
        <v>1830</v>
      </c>
      <c r="C1074" t="str">
        <f>"460027200004202016"</f>
        <v>460027200004202016</v>
      </c>
      <c r="D1074" t="str">
        <f>"248030302230"</f>
        <v>248030302230</v>
      </c>
      <c r="L1074">
        <v>1536</v>
      </c>
      <c r="M1074" t="s">
        <v>1830</v>
      </c>
      <c r="N1074" t="str">
        <f>"248030302230"</f>
        <v>248030302230</v>
      </c>
      <c r="O1074" t="str">
        <f>"460027200004202016"</f>
        <v>460027200004202016</v>
      </c>
    </row>
    <row r="1075" customFormat="1" spans="1:15">
      <c r="A1075">
        <v>1539</v>
      </c>
      <c r="B1075" t="s">
        <v>1831</v>
      </c>
      <c r="C1075" t="str">
        <f>"230502198807020520"</f>
        <v>230502198807020520</v>
      </c>
      <c r="D1075" t="str">
        <f>"248030502420"</f>
        <v>248030502420</v>
      </c>
      <c r="L1075">
        <v>1539</v>
      </c>
      <c r="M1075" t="s">
        <v>1831</v>
      </c>
      <c r="N1075" t="str">
        <f>"248030502420"</f>
        <v>248030502420</v>
      </c>
      <c r="O1075" t="str">
        <f>"230502198807020520"</f>
        <v>230502198807020520</v>
      </c>
    </row>
    <row r="1076" customFormat="1" spans="1:15">
      <c r="A1076">
        <v>1540</v>
      </c>
      <c r="B1076" t="s">
        <v>1832</v>
      </c>
      <c r="C1076" t="str">
        <f>"460003199710154668"</f>
        <v>460003199710154668</v>
      </c>
      <c r="D1076" t="str">
        <f>"248030100716"</f>
        <v>248030100716</v>
      </c>
      <c r="L1076">
        <v>1540</v>
      </c>
      <c r="M1076" t="s">
        <v>1832</v>
      </c>
      <c r="N1076" t="str">
        <f>"248030100716"</f>
        <v>248030100716</v>
      </c>
      <c r="O1076" t="str">
        <f>"460003199710154668"</f>
        <v>460003199710154668</v>
      </c>
    </row>
    <row r="1077" customFormat="1" spans="1:15">
      <c r="A1077">
        <v>1541</v>
      </c>
      <c r="B1077" t="s">
        <v>1833</v>
      </c>
      <c r="C1077" t="str">
        <f>"460033200111203222"</f>
        <v>460033200111203222</v>
      </c>
      <c r="D1077" t="str">
        <f>"248030301210"</f>
        <v>248030301210</v>
      </c>
      <c r="L1077">
        <v>1541</v>
      </c>
      <c r="M1077" t="s">
        <v>1833</v>
      </c>
      <c r="N1077" t="str">
        <f>"248030301210"</f>
        <v>248030301210</v>
      </c>
      <c r="O1077" t="str">
        <f>"460033200111203222"</f>
        <v>460033200111203222</v>
      </c>
    </row>
    <row r="1078" customFormat="1" spans="1:15">
      <c r="A1078">
        <v>1542</v>
      </c>
      <c r="B1078" t="s">
        <v>1834</v>
      </c>
      <c r="C1078" t="str">
        <f>"460004199407306426"</f>
        <v>460004199407306426</v>
      </c>
      <c r="D1078" t="str">
        <f>"248030403511"</f>
        <v>248030403511</v>
      </c>
      <c r="L1078">
        <v>1542</v>
      </c>
      <c r="M1078" t="s">
        <v>1834</v>
      </c>
      <c r="N1078" t="str">
        <f>"248030403511"</f>
        <v>248030403511</v>
      </c>
      <c r="O1078" t="str">
        <f>"460004199407306426"</f>
        <v>460004199407306426</v>
      </c>
    </row>
    <row r="1079" customFormat="1" spans="1:15">
      <c r="A1079">
        <v>1543</v>
      </c>
      <c r="B1079" t="s">
        <v>1835</v>
      </c>
      <c r="C1079" t="str">
        <f>"460300199708170324"</f>
        <v>460300199708170324</v>
      </c>
      <c r="D1079" t="str">
        <f>"248030104402"</f>
        <v>248030104402</v>
      </c>
      <c r="L1079">
        <v>1543</v>
      </c>
      <c r="M1079" t="s">
        <v>1835</v>
      </c>
      <c r="N1079" t="str">
        <f>"248030104402"</f>
        <v>248030104402</v>
      </c>
      <c r="O1079" t="str">
        <f>"460300199708170324"</f>
        <v>460300199708170324</v>
      </c>
    </row>
    <row r="1080" customFormat="1" spans="1:15">
      <c r="A1080">
        <v>1544</v>
      </c>
      <c r="B1080" t="s">
        <v>1836</v>
      </c>
      <c r="C1080" t="str">
        <f>"410503199810085004"</f>
        <v>410503199810085004</v>
      </c>
      <c r="D1080" t="str">
        <f>"248030401003"</f>
        <v>248030401003</v>
      </c>
      <c r="L1080">
        <v>1544</v>
      </c>
      <c r="M1080" t="s">
        <v>1836</v>
      </c>
      <c r="N1080" t="str">
        <f>"248030401003"</f>
        <v>248030401003</v>
      </c>
      <c r="O1080" t="str">
        <f>"410503199810085004"</f>
        <v>410503199810085004</v>
      </c>
    </row>
    <row r="1081" customFormat="1" spans="1:15">
      <c r="A1081">
        <v>1545</v>
      </c>
      <c r="B1081" t="s">
        <v>1837</v>
      </c>
      <c r="C1081" t="str">
        <f>"469003199610082781"</f>
        <v>469003199610082781</v>
      </c>
      <c r="D1081" t="str">
        <f>"248030504305"</f>
        <v>248030504305</v>
      </c>
      <c r="L1081">
        <v>1545</v>
      </c>
      <c r="M1081" t="s">
        <v>1837</v>
      </c>
      <c r="N1081" t="str">
        <f>"248030504305"</f>
        <v>248030504305</v>
      </c>
      <c r="O1081" t="str">
        <f>"469003199610082781"</f>
        <v>469003199610082781</v>
      </c>
    </row>
    <row r="1082" customFormat="1" spans="1:15">
      <c r="A1082">
        <v>1547</v>
      </c>
      <c r="B1082" t="s">
        <v>1838</v>
      </c>
      <c r="C1082" t="str">
        <f>"460003198908102842"</f>
        <v>460003198908102842</v>
      </c>
      <c r="L1082">
        <v>1547</v>
      </c>
      <c r="M1082" t="s">
        <v>1838</v>
      </c>
      <c r="O1082" t="str">
        <f>"460003198908102842"</f>
        <v>460003198908102842</v>
      </c>
    </row>
    <row r="1083" customFormat="1" spans="1:15">
      <c r="A1083">
        <v>1548</v>
      </c>
      <c r="B1083" t="s">
        <v>1839</v>
      </c>
      <c r="C1083" t="str">
        <f>"429006198501156021"</f>
        <v>429006198501156021</v>
      </c>
      <c r="D1083" t="str">
        <f>"248030404226"</f>
        <v>248030404226</v>
      </c>
      <c r="L1083">
        <v>1548</v>
      </c>
      <c r="M1083" t="s">
        <v>1839</v>
      </c>
      <c r="N1083" t="str">
        <f>"248030404226"</f>
        <v>248030404226</v>
      </c>
      <c r="O1083" t="str">
        <f>"429006198501156021"</f>
        <v>429006198501156021</v>
      </c>
    </row>
    <row r="1084" customFormat="1" spans="1:15">
      <c r="A1084">
        <v>1549</v>
      </c>
      <c r="B1084" t="s">
        <v>1840</v>
      </c>
      <c r="C1084" t="str">
        <f>"460030199908205415"</f>
        <v>460030199908205415</v>
      </c>
      <c r="L1084">
        <v>1549</v>
      </c>
      <c r="M1084" t="s">
        <v>1840</v>
      </c>
      <c r="O1084" t="str">
        <f>"460030199908205415"</f>
        <v>460030199908205415</v>
      </c>
    </row>
    <row r="1085" customFormat="1" spans="1:15">
      <c r="A1085">
        <v>1550</v>
      </c>
      <c r="B1085" t="s">
        <v>1841</v>
      </c>
      <c r="C1085" t="str">
        <f>"450923198701052027"</f>
        <v>450923198701052027</v>
      </c>
      <c r="D1085" t="str">
        <f>"248030200330"</f>
        <v>248030200330</v>
      </c>
      <c r="L1085">
        <v>1550</v>
      </c>
      <c r="M1085" t="s">
        <v>1841</v>
      </c>
      <c r="N1085" t="str">
        <f>"248030200330"</f>
        <v>248030200330</v>
      </c>
      <c r="O1085" t="str">
        <f>"450923198701052027"</f>
        <v>450923198701052027</v>
      </c>
    </row>
    <row r="1086" customFormat="1" spans="1:15">
      <c r="A1086">
        <v>1551</v>
      </c>
      <c r="B1086" t="s">
        <v>230</v>
      </c>
      <c r="C1086" t="str">
        <f>"460004199912015021"</f>
        <v>460004199912015021</v>
      </c>
      <c r="D1086" t="str">
        <f>"248030301812"</f>
        <v>248030301812</v>
      </c>
      <c r="L1086">
        <v>1551</v>
      </c>
      <c r="M1086" t="s">
        <v>230</v>
      </c>
      <c r="N1086" t="str">
        <f>"248030301812"</f>
        <v>248030301812</v>
      </c>
      <c r="O1086" t="str">
        <f>"460004199912015021"</f>
        <v>460004199912015021</v>
      </c>
    </row>
    <row r="1087" customFormat="1" spans="1:15">
      <c r="A1087">
        <v>1552</v>
      </c>
      <c r="B1087" t="s">
        <v>1842</v>
      </c>
      <c r="C1087" t="str">
        <f>"460007199406045761"</f>
        <v>460007199406045761</v>
      </c>
      <c r="L1087">
        <v>1552</v>
      </c>
      <c r="M1087" t="s">
        <v>1842</v>
      </c>
      <c r="O1087" t="str">
        <f>"460007199406045761"</f>
        <v>460007199406045761</v>
      </c>
    </row>
    <row r="1088" customFormat="1" spans="1:15">
      <c r="A1088">
        <v>1553</v>
      </c>
      <c r="B1088" t="s">
        <v>1843</v>
      </c>
      <c r="C1088" t="str">
        <f>"430903199802130368"</f>
        <v>430903199802130368</v>
      </c>
      <c r="D1088" t="str">
        <f>"248030202623"</f>
        <v>248030202623</v>
      </c>
      <c r="L1088">
        <v>1553</v>
      </c>
      <c r="M1088" t="s">
        <v>1843</v>
      </c>
      <c r="N1088" t="str">
        <f>"248030202623"</f>
        <v>248030202623</v>
      </c>
      <c r="O1088" t="str">
        <f>"430903199802130368"</f>
        <v>430903199802130368</v>
      </c>
    </row>
    <row r="1089" customFormat="1" spans="1:15">
      <c r="A1089">
        <v>1555</v>
      </c>
      <c r="B1089" t="s">
        <v>1844</v>
      </c>
      <c r="C1089" t="str">
        <f>"460033199306016579"</f>
        <v>460033199306016579</v>
      </c>
      <c r="D1089" t="str">
        <f>"248030402706"</f>
        <v>248030402706</v>
      </c>
      <c r="L1089">
        <v>1555</v>
      </c>
      <c r="M1089" t="s">
        <v>1844</v>
      </c>
      <c r="N1089" t="str">
        <f>"248030402706"</f>
        <v>248030402706</v>
      </c>
      <c r="O1089" t="str">
        <f>"460033199306016579"</f>
        <v>460033199306016579</v>
      </c>
    </row>
    <row r="1090" customFormat="1" spans="1:15">
      <c r="A1090">
        <v>1556</v>
      </c>
      <c r="B1090" t="s">
        <v>1845</v>
      </c>
      <c r="C1090" t="str">
        <f>"460007199803167244"</f>
        <v>460007199803167244</v>
      </c>
      <c r="D1090" t="str">
        <f>"248030402525"</f>
        <v>248030402525</v>
      </c>
      <c r="L1090">
        <v>1556</v>
      </c>
      <c r="M1090" t="s">
        <v>1845</v>
      </c>
      <c r="N1090" t="str">
        <f>"248030402525"</f>
        <v>248030402525</v>
      </c>
      <c r="O1090" t="str">
        <f>"460007199803167244"</f>
        <v>460007199803167244</v>
      </c>
    </row>
    <row r="1091" customFormat="1" spans="1:15">
      <c r="A1091">
        <v>1557</v>
      </c>
      <c r="B1091" t="s">
        <v>1846</v>
      </c>
      <c r="C1091" t="str">
        <f>"460033199908204868"</f>
        <v>460033199908204868</v>
      </c>
      <c r="D1091" t="str">
        <f>"248030300601"</f>
        <v>248030300601</v>
      </c>
      <c r="L1091">
        <v>1557</v>
      </c>
      <c r="M1091" t="s">
        <v>1846</v>
      </c>
      <c r="N1091" t="str">
        <f>"248030300601"</f>
        <v>248030300601</v>
      </c>
      <c r="O1091" t="str">
        <f>"460033199908204868"</f>
        <v>460033199908204868</v>
      </c>
    </row>
    <row r="1092" customFormat="1" spans="1:15">
      <c r="A1092">
        <v>1559</v>
      </c>
      <c r="B1092" t="s">
        <v>1847</v>
      </c>
      <c r="C1092" t="str">
        <f>"460006198901024836"</f>
        <v>460006198901024836</v>
      </c>
      <c r="D1092" t="str">
        <f>"248030402624"</f>
        <v>248030402624</v>
      </c>
      <c r="L1092">
        <v>1559</v>
      </c>
      <c r="M1092" t="s">
        <v>1847</v>
      </c>
      <c r="N1092" t="str">
        <f>"248030402624"</f>
        <v>248030402624</v>
      </c>
      <c r="O1092" t="str">
        <f>"460006198901024836"</f>
        <v>460006198901024836</v>
      </c>
    </row>
    <row r="1093" customFormat="1" spans="1:15">
      <c r="A1093">
        <v>1560</v>
      </c>
      <c r="B1093" t="s">
        <v>650</v>
      </c>
      <c r="C1093" t="str">
        <f>"460026200209240941"</f>
        <v>460026200209240941</v>
      </c>
      <c r="D1093" t="str">
        <f>"248030302206"</f>
        <v>248030302206</v>
      </c>
      <c r="L1093">
        <v>1560</v>
      </c>
      <c r="M1093" t="s">
        <v>650</v>
      </c>
      <c r="N1093" t="str">
        <f>"248030302206"</f>
        <v>248030302206</v>
      </c>
      <c r="O1093" t="str">
        <f>"460026200209240941"</f>
        <v>460026200209240941</v>
      </c>
    </row>
    <row r="1094" customFormat="1" spans="1:15">
      <c r="A1094">
        <v>1561</v>
      </c>
      <c r="B1094" t="s">
        <v>1848</v>
      </c>
      <c r="C1094" t="str">
        <f>"352203198908050541"</f>
        <v>352203198908050541</v>
      </c>
      <c r="L1094">
        <v>1561</v>
      </c>
      <c r="M1094" t="s">
        <v>1848</v>
      </c>
      <c r="O1094" t="str">
        <f>"352203198908050541"</f>
        <v>352203198908050541</v>
      </c>
    </row>
    <row r="1095" customFormat="1" spans="1:15">
      <c r="A1095">
        <v>1562</v>
      </c>
      <c r="B1095" t="s">
        <v>1849</v>
      </c>
      <c r="C1095" t="str">
        <f>"460102200111096026"</f>
        <v>460102200111096026</v>
      </c>
      <c r="D1095" t="str">
        <f>"248030202227"</f>
        <v>248030202227</v>
      </c>
      <c r="L1095">
        <v>1562</v>
      </c>
      <c r="M1095" t="s">
        <v>1849</v>
      </c>
      <c r="N1095" t="str">
        <f>"248030202227"</f>
        <v>248030202227</v>
      </c>
      <c r="O1095" t="str">
        <f>"460102200111096026"</f>
        <v>460102200111096026</v>
      </c>
    </row>
    <row r="1096" customFormat="1" spans="1:15">
      <c r="A1096">
        <v>1563</v>
      </c>
      <c r="B1096" t="s">
        <v>1850</v>
      </c>
      <c r="C1096" t="str">
        <f>"460003199303052445"</f>
        <v>460003199303052445</v>
      </c>
      <c r="L1096">
        <v>1563</v>
      </c>
      <c r="M1096" t="s">
        <v>1850</v>
      </c>
      <c r="O1096" t="str">
        <f>"460003199303052445"</f>
        <v>460003199303052445</v>
      </c>
    </row>
    <row r="1097" customFormat="1" spans="1:15">
      <c r="A1097">
        <v>1565</v>
      </c>
      <c r="B1097" t="s">
        <v>1851</v>
      </c>
      <c r="C1097" t="str">
        <f>"460006199608164850"</f>
        <v>460006199608164850</v>
      </c>
      <c r="L1097">
        <v>1565</v>
      </c>
      <c r="M1097" t="s">
        <v>1851</v>
      </c>
      <c r="O1097" t="str">
        <f>"460006199608164850"</f>
        <v>460006199608164850</v>
      </c>
    </row>
    <row r="1098" customFormat="1" spans="1:15">
      <c r="A1098">
        <v>1567</v>
      </c>
      <c r="B1098" t="s">
        <v>1852</v>
      </c>
      <c r="C1098" t="str">
        <f>"460026198911270921"</f>
        <v>460026198911270921</v>
      </c>
      <c r="D1098" t="str">
        <f>"248030502003"</f>
        <v>248030502003</v>
      </c>
      <c r="L1098">
        <v>1567</v>
      </c>
      <c r="M1098" t="s">
        <v>1852</v>
      </c>
      <c r="N1098" t="str">
        <f>"248030502003"</f>
        <v>248030502003</v>
      </c>
      <c r="O1098" t="str">
        <f>"460026198911270921"</f>
        <v>460026198911270921</v>
      </c>
    </row>
    <row r="1099" customFormat="1" spans="1:15">
      <c r="A1099">
        <v>1568</v>
      </c>
      <c r="B1099" t="s">
        <v>1853</v>
      </c>
      <c r="C1099" t="str">
        <f>"460107199511163044"</f>
        <v>460107199511163044</v>
      </c>
      <c r="D1099" t="str">
        <f>"248030200126"</f>
        <v>248030200126</v>
      </c>
      <c r="L1099">
        <v>1568</v>
      </c>
      <c r="M1099" t="s">
        <v>1853</v>
      </c>
      <c r="N1099" t="str">
        <f>"248030200126"</f>
        <v>248030200126</v>
      </c>
      <c r="O1099" t="str">
        <f>"460107199511163044"</f>
        <v>460107199511163044</v>
      </c>
    </row>
    <row r="1100" customFormat="1" spans="1:15">
      <c r="A1100">
        <v>1569</v>
      </c>
      <c r="B1100" t="s">
        <v>1854</v>
      </c>
      <c r="C1100" t="str">
        <f>"460025199502123021"</f>
        <v>460025199502123021</v>
      </c>
      <c r="D1100" t="str">
        <f>"248030404208"</f>
        <v>248030404208</v>
      </c>
      <c r="L1100">
        <v>1569</v>
      </c>
      <c r="M1100" t="s">
        <v>1854</v>
      </c>
      <c r="N1100" t="str">
        <f>"248030404208"</f>
        <v>248030404208</v>
      </c>
      <c r="O1100" t="str">
        <f>"460025199502123021"</f>
        <v>460025199502123021</v>
      </c>
    </row>
    <row r="1101" customFormat="1" spans="1:15">
      <c r="A1101">
        <v>1570</v>
      </c>
      <c r="B1101" t="s">
        <v>1855</v>
      </c>
      <c r="C1101" t="str">
        <f>"360782199701084442"</f>
        <v>360782199701084442</v>
      </c>
      <c r="L1101">
        <v>1570</v>
      </c>
      <c r="M1101" t="s">
        <v>1855</v>
      </c>
      <c r="O1101" t="str">
        <f>"360782199701084442"</f>
        <v>360782199701084442</v>
      </c>
    </row>
    <row r="1102" customFormat="1" spans="1:15">
      <c r="A1102">
        <v>1571</v>
      </c>
      <c r="B1102" t="s">
        <v>1856</v>
      </c>
      <c r="C1102" t="str">
        <f>"460003200009218825"</f>
        <v>460003200009218825</v>
      </c>
      <c r="D1102" t="str">
        <f>"248030200818"</f>
        <v>248030200818</v>
      </c>
      <c r="L1102">
        <v>1571</v>
      </c>
      <c r="M1102" t="s">
        <v>1856</v>
      </c>
      <c r="N1102" t="str">
        <f>"248030200818"</f>
        <v>248030200818</v>
      </c>
      <c r="O1102" t="str">
        <f>"460003200009218825"</f>
        <v>460003200009218825</v>
      </c>
    </row>
    <row r="1103" customFormat="1" spans="1:15">
      <c r="A1103">
        <v>1572</v>
      </c>
      <c r="B1103" t="s">
        <v>1857</v>
      </c>
      <c r="C1103" t="str">
        <f>"469003199807276424"</f>
        <v>469003199807276424</v>
      </c>
      <c r="D1103" t="str">
        <f>"248030404204"</f>
        <v>248030404204</v>
      </c>
      <c r="L1103">
        <v>1572</v>
      </c>
      <c r="M1103" t="s">
        <v>1857</v>
      </c>
      <c r="N1103" t="str">
        <f>"248030404204"</f>
        <v>248030404204</v>
      </c>
      <c r="O1103" t="str">
        <f>"469003199807276424"</f>
        <v>469003199807276424</v>
      </c>
    </row>
    <row r="1104" customFormat="1" spans="1:15">
      <c r="A1104">
        <v>1574</v>
      </c>
      <c r="B1104" t="s">
        <v>1858</v>
      </c>
      <c r="C1104" t="str">
        <f>"460006199102065265"</f>
        <v>460006199102065265</v>
      </c>
      <c r="D1104" t="str">
        <f>"248030102320"</f>
        <v>248030102320</v>
      </c>
      <c r="L1104">
        <v>1574</v>
      </c>
      <c r="M1104" t="s">
        <v>1858</v>
      </c>
      <c r="N1104" t="str">
        <f>"248030102320"</f>
        <v>248030102320</v>
      </c>
      <c r="O1104" t="str">
        <f>"460006199102065265"</f>
        <v>460006199102065265</v>
      </c>
    </row>
    <row r="1105" customFormat="1" spans="1:15">
      <c r="A1105">
        <v>1575</v>
      </c>
      <c r="B1105" t="s">
        <v>1859</v>
      </c>
      <c r="C1105" t="str">
        <f>"46030019941214002X"</f>
        <v>46030019941214002X</v>
      </c>
      <c r="D1105" t="str">
        <f>"248030200517"</f>
        <v>248030200517</v>
      </c>
      <c r="L1105">
        <v>1575</v>
      </c>
      <c r="M1105" t="s">
        <v>1859</v>
      </c>
      <c r="N1105" t="str">
        <f>"248030200517"</f>
        <v>248030200517</v>
      </c>
      <c r="O1105" t="str">
        <f>"46030019941214002X"</f>
        <v>46030019941214002X</v>
      </c>
    </row>
    <row r="1106" customFormat="1" spans="1:15">
      <c r="A1106">
        <v>1576</v>
      </c>
      <c r="B1106" t="s">
        <v>1860</v>
      </c>
      <c r="C1106" t="str">
        <f>"460028199106152866"</f>
        <v>460028199106152866</v>
      </c>
      <c r="D1106" t="str">
        <f>"248030401512"</f>
        <v>248030401512</v>
      </c>
      <c r="L1106">
        <v>1576</v>
      </c>
      <c r="M1106" t="s">
        <v>1860</v>
      </c>
      <c r="N1106" t="str">
        <f>"248030401512"</f>
        <v>248030401512</v>
      </c>
      <c r="O1106" t="str">
        <f>"460028199106152866"</f>
        <v>460028199106152866</v>
      </c>
    </row>
    <row r="1107" customFormat="1" spans="1:15">
      <c r="A1107">
        <v>1578</v>
      </c>
      <c r="B1107" t="s">
        <v>1861</v>
      </c>
      <c r="C1107" t="str">
        <f>"460007199611150421"</f>
        <v>460007199611150421</v>
      </c>
      <c r="D1107" t="str">
        <f>"248030301528"</f>
        <v>248030301528</v>
      </c>
      <c r="L1107">
        <v>1578</v>
      </c>
      <c r="M1107" t="s">
        <v>1861</v>
      </c>
      <c r="N1107" t="str">
        <f>"248030301528"</f>
        <v>248030301528</v>
      </c>
      <c r="O1107" t="str">
        <f>"460007199611150421"</f>
        <v>460007199611150421</v>
      </c>
    </row>
    <row r="1108" customFormat="1" spans="1:15">
      <c r="A1108">
        <v>1579</v>
      </c>
      <c r="B1108" t="s">
        <v>1862</v>
      </c>
      <c r="C1108" t="str">
        <f>"460003199509085648"</f>
        <v>460003199509085648</v>
      </c>
      <c r="D1108" t="str">
        <f>"248030101729"</f>
        <v>248030101729</v>
      </c>
      <c r="L1108">
        <v>1579</v>
      </c>
      <c r="M1108" t="s">
        <v>1862</v>
      </c>
      <c r="N1108" t="str">
        <f>"248030101729"</f>
        <v>248030101729</v>
      </c>
      <c r="O1108" t="str">
        <f>"460003199509085648"</f>
        <v>460003199509085648</v>
      </c>
    </row>
    <row r="1109" customFormat="1" spans="1:15">
      <c r="A1109">
        <v>1580</v>
      </c>
      <c r="B1109" t="s">
        <v>1863</v>
      </c>
      <c r="C1109" t="str">
        <f>"460007200001300029"</f>
        <v>460007200001300029</v>
      </c>
      <c r="D1109" t="str">
        <f>"248030100505"</f>
        <v>248030100505</v>
      </c>
      <c r="L1109">
        <v>1580</v>
      </c>
      <c r="M1109" t="s">
        <v>1863</v>
      </c>
      <c r="N1109" t="str">
        <f>"248030100505"</f>
        <v>248030100505</v>
      </c>
      <c r="O1109" t="str">
        <f>"460007200001300029"</f>
        <v>460007200001300029</v>
      </c>
    </row>
    <row r="1110" customFormat="1" spans="1:15">
      <c r="A1110">
        <v>1581</v>
      </c>
      <c r="B1110" t="s">
        <v>1864</v>
      </c>
      <c r="C1110" t="str">
        <f>"430822200111206545"</f>
        <v>430822200111206545</v>
      </c>
      <c r="D1110" t="str">
        <f>"248030401127"</f>
        <v>248030401127</v>
      </c>
      <c r="L1110">
        <v>1581</v>
      </c>
      <c r="M1110" t="s">
        <v>1864</v>
      </c>
      <c r="N1110" t="str">
        <f>"248030401127"</f>
        <v>248030401127</v>
      </c>
      <c r="O1110" t="str">
        <f>"430822200111206545"</f>
        <v>430822200111206545</v>
      </c>
    </row>
    <row r="1111" customFormat="1" spans="1:15">
      <c r="A1111">
        <v>1582</v>
      </c>
      <c r="B1111" t="s">
        <v>1865</v>
      </c>
      <c r="C1111" t="str">
        <f>"469028200008302123"</f>
        <v>469028200008302123</v>
      </c>
      <c r="D1111" t="str">
        <f>"248030100908"</f>
        <v>248030100908</v>
      </c>
      <c r="L1111">
        <v>1582</v>
      </c>
      <c r="M1111" t="s">
        <v>1865</v>
      </c>
      <c r="N1111" t="str">
        <f>"248030100908"</f>
        <v>248030100908</v>
      </c>
      <c r="O1111" t="str">
        <f>"469028200008302123"</f>
        <v>469028200008302123</v>
      </c>
    </row>
    <row r="1112" customFormat="1" spans="1:15">
      <c r="A1112">
        <v>1583</v>
      </c>
      <c r="B1112" t="s">
        <v>1866</v>
      </c>
      <c r="C1112" t="str">
        <f>"210381199601060426"</f>
        <v>210381199601060426</v>
      </c>
      <c r="D1112" t="str">
        <f>"248030200822"</f>
        <v>248030200822</v>
      </c>
      <c r="L1112">
        <v>1583</v>
      </c>
      <c r="M1112" t="s">
        <v>1866</v>
      </c>
      <c r="N1112" t="str">
        <f>"248030200822"</f>
        <v>248030200822</v>
      </c>
      <c r="O1112" t="str">
        <f>"210381199601060426"</f>
        <v>210381199601060426</v>
      </c>
    </row>
    <row r="1113" customFormat="1" spans="1:15">
      <c r="A1113">
        <v>1584</v>
      </c>
      <c r="B1113" t="s">
        <v>1867</v>
      </c>
      <c r="C1113" t="str">
        <f>"469024199803040045"</f>
        <v>469024199803040045</v>
      </c>
      <c r="D1113" t="str">
        <f>"248030102615"</f>
        <v>248030102615</v>
      </c>
      <c r="L1113">
        <v>1584</v>
      </c>
      <c r="M1113" t="s">
        <v>1867</v>
      </c>
      <c r="N1113" t="str">
        <f>"248030102615"</f>
        <v>248030102615</v>
      </c>
      <c r="O1113" t="str">
        <f>"469024199803040045"</f>
        <v>469024199803040045</v>
      </c>
    </row>
    <row r="1114" customFormat="1" spans="1:15">
      <c r="A1114">
        <v>1585</v>
      </c>
      <c r="B1114" t="s">
        <v>1868</v>
      </c>
      <c r="C1114" t="str">
        <f>"460004200112083419"</f>
        <v>460004200112083419</v>
      </c>
      <c r="D1114" t="str">
        <f>"248030402416"</f>
        <v>248030402416</v>
      </c>
      <c r="L1114">
        <v>1585</v>
      </c>
      <c r="M1114" t="s">
        <v>1868</v>
      </c>
      <c r="N1114" t="str">
        <f>"248030402416"</f>
        <v>248030402416</v>
      </c>
      <c r="O1114" t="str">
        <f>"460004200112083419"</f>
        <v>460004200112083419</v>
      </c>
    </row>
    <row r="1115" customFormat="1" spans="1:15">
      <c r="A1115">
        <v>1586</v>
      </c>
      <c r="B1115" t="s">
        <v>1869</v>
      </c>
      <c r="C1115" t="str">
        <f>"460028199406090062"</f>
        <v>460028199406090062</v>
      </c>
      <c r="D1115" t="str">
        <f>"248030401426"</f>
        <v>248030401426</v>
      </c>
      <c r="L1115">
        <v>1586</v>
      </c>
      <c r="M1115" t="s">
        <v>1869</v>
      </c>
      <c r="N1115" t="str">
        <f>"248030401426"</f>
        <v>248030401426</v>
      </c>
      <c r="O1115" t="str">
        <f>"460028199406090062"</f>
        <v>460028199406090062</v>
      </c>
    </row>
    <row r="1116" customFormat="1" spans="1:15">
      <c r="A1116">
        <v>1587</v>
      </c>
      <c r="B1116" t="s">
        <v>1870</v>
      </c>
      <c r="C1116" t="str">
        <f>"460003199711188827"</f>
        <v>460003199711188827</v>
      </c>
      <c r="D1116" t="str">
        <f>"248030500825"</f>
        <v>248030500825</v>
      </c>
      <c r="L1116">
        <v>1587</v>
      </c>
      <c r="M1116" t="s">
        <v>1870</v>
      </c>
      <c r="N1116" t="str">
        <f>"248030500825"</f>
        <v>248030500825</v>
      </c>
      <c r="O1116" t="str">
        <f>"460003199711188827"</f>
        <v>460003199711188827</v>
      </c>
    </row>
    <row r="1117" customFormat="1" spans="1:15">
      <c r="A1117">
        <v>1588</v>
      </c>
      <c r="B1117" t="s">
        <v>1871</v>
      </c>
      <c r="C1117" t="str">
        <f>"460102200209012724"</f>
        <v>460102200209012724</v>
      </c>
      <c r="D1117" t="str">
        <f>"248030301218"</f>
        <v>248030301218</v>
      </c>
      <c r="L1117">
        <v>1588</v>
      </c>
      <c r="M1117" t="s">
        <v>1871</v>
      </c>
      <c r="N1117" t="str">
        <f>"248030301218"</f>
        <v>248030301218</v>
      </c>
      <c r="O1117" t="str">
        <f>"460102200209012724"</f>
        <v>460102200209012724</v>
      </c>
    </row>
    <row r="1118" customFormat="1" spans="1:15">
      <c r="A1118">
        <v>1590</v>
      </c>
      <c r="B1118" t="s">
        <v>1872</v>
      </c>
      <c r="C1118" t="str">
        <f>"430702199802193046"</f>
        <v>430702199802193046</v>
      </c>
      <c r="L1118">
        <v>1590</v>
      </c>
      <c r="M1118" t="s">
        <v>1872</v>
      </c>
      <c r="O1118" t="str">
        <f>"430702199802193046"</f>
        <v>430702199802193046</v>
      </c>
    </row>
    <row r="1119" customFormat="1" spans="1:15">
      <c r="A1119">
        <v>1591</v>
      </c>
      <c r="B1119" t="s">
        <v>1873</v>
      </c>
      <c r="C1119" t="str">
        <f>"460002199611025821"</f>
        <v>460002199611025821</v>
      </c>
      <c r="D1119" t="str">
        <f>"248030404216"</f>
        <v>248030404216</v>
      </c>
      <c r="L1119">
        <v>1591</v>
      </c>
      <c r="M1119" t="s">
        <v>1873</v>
      </c>
      <c r="N1119" t="str">
        <f>"248030404216"</f>
        <v>248030404216</v>
      </c>
      <c r="O1119" t="str">
        <f>"460002199611025821"</f>
        <v>460002199611025821</v>
      </c>
    </row>
    <row r="1120" customFormat="1" spans="1:15">
      <c r="A1120">
        <v>1592</v>
      </c>
      <c r="B1120" t="s">
        <v>1874</v>
      </c>
      <c r="C1120" t="str">
        <f>"460002199701313026"</f>
        <v>460002199701313026</v>
      </c>
      <c r="L1120">
        <v>1592</v>
      </c>
      <c r="M1120" t="s">
        <v>1874</v>
      </c>
      <c r="O1120" t="str">
        <f>"460002199701313026"</f>
        <v>460002199701313026</v>
      </c>
    </row>
    <row r="1121" customFormat="1" spans="1:15">
      <c r="A1121">
        <v>1593</v>
      </c>
      <c r="B1121" t="s">
        <v>1875</v>
      </c>
      <c r="C1121" t="str">
        <f>"410823200206280281"</f>
        <v>410823200206280281</v>
      </c>
      <c r="D1121" t="str">
        <f>"248030203406"</f>
        <v>248030203406</v>
      </c>
      <c r="L1121">
        <v>1593</v>
      </c>
      <c r="M1121" t="s">
        <v>1875</v>
      </c>
      <c r="N1121" t="str">
        <f>"248030203406"</f>
        <v>248030203406</v>
      </c>
      <c r="O1121" t="str">
        <f>"410823200206280281"</f>
        <v>410823200206280281</v>
      </c>
    </row>
    <row r="1122" customFormat="1" spans="1:15">
      <c r="A1122">
        <v>1594</v>
      </c>
      <c r="B1122" t="s">
        <v>1876</v>
      </c>
      <c r="C1122" t="str">
        <f>"231121199512184627"</f>
        <v>231121199512184627</v>
      </c>
      <c r="D1122" t="str">
        <f>"248030401613"</f>
        <v>248030401613</v>
      </c>
      <c r="L1122">
        <v>1594</v>
      </c>
      <c r="M1122" t="s">
        <v>1876</v>
      </c>
      <c r="N1122" t="str">
        <f>"248030401613"</f>
        <v>248030401613</v>
      </c>
      <c r="O1122" t="str">
        <f>"231121199512184627"</f>
        <v>231121199512184627</v>
      </c>
    </row>
    <row r="1123" customFormat="1" spans="1:15">
      <c r="A1123">
        <v>1595</v>
      </c>
      <c r="B1123" t="s">
        <v>1877</v>
      </c>
      <c r="C1123" t="str">
        <f>"460026199911081527"</f>
        <v>460026199911081527</v>
      </c>
      <c r="D1123" t="str">
        <f>"248030500313"</f>
        <v>248030500313</v>
      </c>
      <c r="L1123">
        <v>1595</v>
      </c>
      <c r="M1123" t="s">
        <v>1877</v>
      </c>
      <c r="N1123" t="str">
        <f>"248030500313"</f>
        <v>248030500313</v>
      </c>
      <c r="O1123" t="str">
        <f>"460026199911081527"</f>
        <v>460026199911081527</v>
      </c>
    </row>
    <row r="1124" customFormat="1" spans="1:15">
      <c r="A1124">
        <v>1596</v>
      </c>
      <c r="B1124" t="s">
        <v>1878</v>
      </c>
      <c r="C1124" t="str">
        <f>"460003200206012615"</f>
        <v>460003200206012615</v>
      </c>
      <c r="D1124" t="str">
        <f>"248030503708"</f>
        <v>248030503708</v>
      </c>
      <c r="L1124">
        <v>1596</v>
      </c>
      <c r="M1124" t="s">
        <v>1878</v>
      </c>
      <c r="N1124" t="str">
        <f>"248030503708"</f>
        <v>248030503708</v>
      </c>
      <c r="O1124" t="str">
        <f>"460003200206012615"</f>
        <v>460003200206012615</v>
      </c>
    </row>
    <row r="1125" customFormat="1" spans="1:15">
      <c r="A1125">
        <v>1597</v>
      </c>
      <c r="B1125" t="s">
        <v>1879</v>
      </c>
      <c r="C1125" t="str">
        <f>"469030200111224129"</f>
        <v>469030200111224129</v>
      </c>
      <c r="D1125" t="str">
        <f>"248030503215"</f>
        <v>248030503215</v>
      </c>
      <c r="L1125">
        <v>1597</v>
      </c>
      <c r="M1125" t="s">
        <v>1879</v>
      </c>
      <c r="N1125" t="str">
        <f>"248030503215"</f>
        <v>248030503215</v>
      </c>
      <c r="O1125" t="str">
        <f>"469030200111224129"</f>
        <v>469030200111224129</v>
      </c>
    </row>
    <row r="1126" customFormat="1" spans="1:15">
      <c r="A1126">
        <v>1598</v>
      </c>
      <c r="B1126" t="s">
        <v>1880</v>
      </c>
      <c r="C1126" t="str">
        <f>"460200199601103943"</f>
        <v>460200199601103943</v>
      </c>
      <c r="D1126" t="str">
        <f>"248030404105"</f>
        <v>248030404105</v>
      </c>
      <c r="L1126">
        <v>1598</v>
      </c>
      <c r="M1126" t="s">
        <v>1880</v>
      </c>
      <c r="N1126" t="str">
        <f>"248030404105"</f>
        <v>248030404105</v>
      </c>
      <c r="O1126" t="str">
        <f>"460200199601103943"</f>
        <v>460200199601103943</v>
      </c>
    </row>
    <row r="1127" customFormat="1" spans="1:15">
      <c r="A1127">
        <v>1599</v>
      </c>
      <c r="B1127" t="s">
        <v>1881</v>
      </c>
      <c r="C1127" t="str">
        <f>"469028199912241220"</f>
        <v>469028199912241220</v>
      </c>
      <c r="L1127">
        <v>1599</v>
      </c>
      <c r="M1127" t="s">
        <v>1881</v>
      </c>
      <c r="O1127" t="str">
        <f>"469028199912241220"</f>
        <v>469028199912241220</v>
      </c>
    </row>
    <row r="1128" customFormat="1" spans="1:15">
      <c r="A1128">
        <v>1600</v>
      </c>
      <c r="B1128" t="s">
        <v>1882</v>
      </c>
      <c r="C1128" t="str">
        <f>"460026199810260323"</f>
        <v>460026199810260323</v>
      </c>
      <c r="L1128">
        <v>1600</v>
      </c>
      <c r="M1128" t="s">
        <v>1882</v>
      </c>
      <c r="O1128" t="str">
        <f>"460026199810260323"</f>
        <v>460026199810260323</v>
      </c>
    </row>
    <row r="1129" customFormat="1" spans="1:15">
      <c r="A1129">
        <v>1601</v>
      </c>
      <c r="B1129" t="s">
        <v>1883</v>
      </c>
      <c r="C1129" t="str">
        <f>"460004199106302448"</f>
        <v>460004199106302448</v>
      </c>
      <c r="L1129">
        <v>1601</v>
      </c>
      <c r="M1129" t="s">
        <v>1883</v>
      </c>
      <c r="O1129" t="str">
        <f>"460004199106302448"</f>
        <v>460004199106302448</v>
      </c>
    </row>
    <row r="1130" customFormat="1" spans="1:15">
      <c r="A1130">
        <v>1602</v>
      </c>
      <c r="B1130" t="s">
        <v>1884</v>
      </c>
      <c r="C1130" t="str">
        <f>"460033199810154487"</f>
        <v>460033199810154487</v>
      </c>
      <c r="D1130" t="str">
        <f>"248030501809"</f>
        <v>248030501809</v>
      </c>
      <c r="L1130">
        <v>1602</v>
      </c>
      <c r="M1130" t="s">
        <v>1884</v>
      </c>
      <c r="N1130" t="str">
        <f>"248030501809"</f>
        <v>248030501809</v>
      </c>
      <c r="O1130" t="str">
        <f>"460033199810154487"</f>
        <v>460033199810154487</v>
      </c>
    </row>
    <row r="1131" customFormat="1" spans="1:15">
      <c r="A1131">
        <v>1604</v>
      </c>
      <c r="B1131" t="s">
        <v>290</v>
      </c>
      <c r="C1131" t="str">
        <f>"460102199909192740"</f>
        <v>460102199909192740</v>
      </c>
      <c r="D1131" t="str">
        <f>"248030300904"</f>
        <v>248030300904</v>
      </c>
      <c r="L1131">
        <v>1604</v>
      </c>
      <c r="M1131" t="s">
        <v>290</v>
      </c>
      <c r="N1131" t="str">
        <f>"248030300904"</f>
        <v>248030300904</v>
      </c>
      <c r="O1131" t="str">
        <f>"460102199909192740"</f>
        <v>460102199909192740</v>
      </c>
    </row>
    <row r="1132" customFormat="1" spans="1:15">
      <c r="A1132">
        <v>1605</v>
      </c>
      <c r="B1132" t="s">
        <v>1885</v>
      </c>
      <c r="C1132" t="str">
        <f>"460006199501062723"</f>
        <v>460006199501062723</v>
      </c>
      <c r="D1132" t="str">
        <f>"248030101826"</f>
        <v>248030101826</v>
      </c>
      <c r="L1132">
        <v>1605</v>
      </c>
      <c r="M1132" t="s">
        <v>1885</v>
      </c>
      <c r="N1132" t="str">
        <f>"248030101826"</f>
        <v>248030101826</v>
      </c>
      <c r="O1132" t="str">
        <f>"460006199501062723"</f>
        <v>460006199501062723</v>
      </c>
    </row>
    <row r="1133" customFormat="1" spans="1:15">
      <c r="A1133">
        <v>1606</v>
      </c>
      <c r="B1133" t="s">
        <v>477</v>
      </c>
      <c r="C1133" t="str">
        <f>"511011199503087824"</f>
        <v>511011199503087824</v>
      </c>
      <c r="D1133" t="str">
        <f>"248030402215"</f>
        <v>248030402215</v>
      </c>
      <c r="L1133">
        <v>1606</v>
      </c>
      <c r="M1133" t="s">
        <v>477</v>
      </c>
      <c r="N1133" t="str">
        <f>"248030402215"</f>
        <v>248030402215</v>
      </c>
      <c r="O1133" t="str">
        <f>"511011199503087824"</f>
        <v>511011199503087824</v>
      </c>
    </row>
    <row r="1134" customFormat="1" spans="1:15">
      <c r="A1134">
        <v>1607</v>
      </c>
      <c r="B1134" t="s">
        <v>1886</v>
      </c>
      <c r="C1134" t="str">
        <f>"460003199901145422"</f>
        <v>460003199901145422</v>
      </c>
      <c r="D1134" t="str">
        <f>"248030500710"</f>
        <v>248030500710</v>
      </c>
      <c r="L1134">
        <v>1607</v>
      </c>
      <c r="M1134" t="s">
        <v>1886</v>
      </c>
      <c r="N1134" t="str">
        <f>"248030500710"</f>
        <v>248030500710</v>
      </c>
      <c r="O1134" t="str">
        <f>"460003199901145422"</f>
        <v>460003199901145422</v>
      </c>
    </row>
    <row r="1135" customFormat="1" spans="1:15">
      <c r="A1135">
        <v>1608</v>
      </c>
      <c r="B1135" t="s">
        <v>1887</v>
      </c>
      <c r="C1135" t="str">
        <f>"460003199306232441"</f>
        <v>460003199306232441</v>
      </c>
      <c r="L1135">
        <v>1608</v>
      </c>
      <c r="M1135" t="s">
        <v>1887</v>
      </c>
      <c r="O1135" t="str">
        <f>"460003199306232441"</f>
        <v>460003199306232441</v>
      </c>
    </row>
    <row r="1136" customFormat="1" spans="1:15">
      <c r="A1136">
        <v>1609</v>
      </c>
      <c r="B1136" t="s">
        <v>1888</v>
      </c>
      <c r="C1136" t="str">
        <f>"46002719961006472X"</f>
        <v>46002719961006472X</v>
      </c>
      <c r="D1136" t="str">
        <f>"248030301108"</f>
        <v>248030301108</v>
      </c>
      <c r="L1136">
        <v>1609</v>
      </c>
      <c r="M1136" t="s">
        <v>1888</v>
      </c>
      <c r="N1136" t="str">
        <f>"248030301108"</f>
        <v>248030301108</v>
      </c>
      <c r="O1136" t="str">
        <f>"46002719961006472X"</f>
        <v>46002719961006472X</v>
      </c>
    </row>
    <row r="1137" customFormat="1" spans="1:15">
      <c r="A1137">
        <v>1610</v>
      </c>
      <c r="B1137" t="s">
        <v>1889</v>
      </c>
      <c r="C1137" t="str">
        <f>"460003199912107026"</f>
        <v>460003199912107026</v>
      </c>
      <c r="L1137">
        <v>1610</v>
      </c>
      <c r="M1137" t="s">
        <v>1889</v>
      </c>
      <c r="O1137" t="str">
        <f>"460003199912107026"</f>
        <v>460003199912107026</v>
      </c>
    </row>
    <row r="1138" customFormat="1" spans="1:15">
      <c r="A1138">
        <v>1611</v>
      </c>
      <c r="B1138" t="s">
        <v>1890</v>
      </c>
      <c r="C1138" t="str">
        <f>"460002199511242220"</f>
        <v>460002199511242220</v>
      </c>
      <c r="D1138" t="str">
        <f>"248030200309"</f>
        <v>248030200309</v>
      </c>
      <c r="L1138">
        <v>1611</v>
      </c>
      <c r="M1138" t="s">
        <v>1890</v>
      </c>
      <c r="N1138" t="str">
        <f>"248030200309"</f>
        <v>248030200309</v>
      </c>
      <c r="O1138" t="str">
        <f>"460002199511242220"</f>
        <v>460002199511242220</v>
      </c>
    </row>
    <row r="1139" customFormat="1" spans="1:15">
      <c r="A1139">
        <v>1613</v>
      </c>
      <c r="B1139" t="s">
        <v>1891</v>
      </c>
      <c r="C1139" t="str">
        <f>"460030199606176620"</f>
        <v>460030199606176620</v>
      </c>
      <c r="D1139" t="str">
        <f>"248030300120"</f>
        <v>248030300120</v>
      </c>
      <c r="L1139">
        <v>1613</v>
      </c>
      <c r="M1139" t="s">
        <v>1891</v>
      </c>
      <c r="N1139" t="str">
        <f>"248030300120"</f>
        <v>248030300120</v>
      </c>
      <c r="O1139" t="str">
        <f>"460030199606176620"</f>
        <v>460030199606176620</v>
      </c>
    </row>
    <row r="1140" customFormat="1" spans="1:15">
      <c r="A1140">
        <v>1614</v>
      </c>
      <c r="B1140" t="s">
        <v>1892</v>
      </c>
      <c r="C1140" t="str">
        <f>"460200199104241405"</f>
        <v>460200199104241405</v>
      </c>
      <c r="D1140" t="str">
        <f>"248030103119"</f>
        <v>248030103119</v>
      </c>
      <c r="L1140">
        <v>1614</v>
      </c>
      <c r="M1140" t="s">
        <v>1892</v>
      </c>
      <c r="N1140" t="str">
        <f>"248030103119"</f>
        <v>248030103119</v>
      </c>
      <c r="O1140" t="str">
        <f>"460200199104241405"</f>
        <v>460200199104241405</v>
      </c>
    </row>
    <row r="1141" customFormat="1" spans="1:15">
      <c r="A1141">
        <v>1615</v>
      </c>
      <c r="B1141" t="s">
        <v>1893</v>
      </c>
      <c r="C1141" t="str">
        <f>"460004199804240424"</f>
        <v>460004199804240424</v>
      </c>
      <c r="D1141" t="str">
        <f>"248030203218"</f>
        <v>248030203218</v>
      </c>
      <c r="L1141">
        <v>1615</v>
      </c>
      <c r="M1141" t="s">
        <v>1893</v>
      </c>
      <c r="N1141" t="str">
        <f>"248030203218"</f>
        <v>248030203218</v>
      </c>
      <c r="O1141" t="str">
        <f>"460004199804240424"</f>
        <v>460004199804240424</v>
      </c>
    </row>
    <row r="1142" customFormat="1" spans="1:15">
      <c r="A1142">
        <v>1621</v>
      </c>
      <c r="B1142" t="s">
        <v>1894</v>
      </c>
      <c r="C1142" t="str">
        <f>"371502198906304010"</f>
        <v>371502198906304010</v>
      </c>
      <c r="D1142" t="str">
        <f>"248030403914"</f>
        <v>248030403914</v>
      </c>
      <c r="L1142">
        <v>1621</v>
      </c>
      <c r="M1142" t="s">
        <v>1894</v>
      </c>
      <c r="N1142" t="str">
        <f>"248030403914"</f>
        <v>248030403914</v>
      </c>
      <c r="O1142" t="str">
        <f>"371502198906304010"</f>
        <v>371502198906304010</v>
      </c>
    </row>
    <row r="1143" customFormat="1" spans="1:15">
      <c r="A1143">
        <v>1622</v>
      </c>
      <c r="B1143" t="s">
        <v>1895</v>
      </c>
      <c r="C1143" t="str">
        <f>"469024200010095228"</f>
        <v>469024200010095228</v>
      </c>
      <c r="D1143" t="str">
        <f>"248030302429"</f>
        <v>248030302429</v>
      </c>
      <c r="L1143">
        <v>1622</v>
      </c>
      <c r="M1143" t="s">
        <v>1895</v>
      </c>
      <c r="N1143" t="str">
        <f>"248030302429"</f>
        <v>248030302429</v>
      </c>
      <c r="O1143" t="str">
        <f>"469024200010095228"</f>
        <v>469024200010095228</v>
      </c>
    </row>
    <row r="1144" customFormat="1" spans="1:15">
      <c r="A1144">
        <v>1624</v>
      </c>
      <c r="B1144" t="s">
        <v>1896</v>
      </c>
      <c r="C1144" t="str">
        <f>"46020020000724188X"</f>
        <v>46020020000724188X</v>
      </c>
      <c r="D1144" t="str">
        <f>"248030301426"</f>
        <v>248030301426</v>
      </c>
      <c r="L1144">
        <v>1624</v>
      </c>
      <c r="M1144" t="s">
        <v>1896</v>
      </c>
      <c r="N1144" t="str">
        <f>"248030301426"</f>
        <v>248030301426</v>
      </c>
      <c r="O1144" t="str">
        <f>"46020020000724188X"</f>
        <v>46020020000724188X</v>
      </c>
    </row>
    <row r="1145" customFormat="1" spans="1:15">
      <c r="A1145">
        <v>1625</v>
      </c>
      <c r="B1145" t="s">
        <v>1897</v>
      </c>
      <c r="C1145" t="str">
        <f>"460103200108011825"</f>
        <v>460103200108011825</v>
      </c>
      <c r="D1145" t="str">
        <f>"248030401521"</f>
        <v>248030401521</v>
      </c>
      <c r="L1145">
        <v>1625</v>
      </c>
      <c r="M1145" t="s">
        <v>1897</v>
      </c>
      <c r="N1145" t="str">
        <f>"248030401521"</f>
        <v>248030401521</v>
      </c>
      <c r="O1145" t="str">
        <f>"460103200108011825"</f>
        <v>460103200108011825</v>
      </c>
    </row>
    <row r="1146" customFormat="1" spans="1:15">
      <c r="A1146">
        <v>1629</v>
      </c>
      <c r="B1146" t="s">
        <v>1898</v>
      </c>
      <c r="C1146" t="str">
        <f>"460028199603154424"</f>
        <v>460028199603154424</v>
      </c>
      <c r="D1146" t="str">
        <f>"248030200501"</f>
        <v>248030200501</v>
      </c>
      <c r="L1146">
        <v>1629</v>
      </c>
      <c r="M1146" t="s">
        <v>1898</v>
      </c>
      <c r="N1146" t="str">
        <f>"248030200501"</f>
        <v>248030200501</v>
      </c>
      <c r="O1146" t="str">
        <f>"460028199603154424"</f>
        <v>460028199603154424</v>
      </c>
    </row>
    <row r="1147" customFormat="1" spans="1:15">
      <c r="A1147">
        <v>1630</v>
      </c>
      <c r="B1147" t="s">
        <v>1899</v>
      </c>
      <c r="C1147" t="str">
        <f>"460200199207014440"</f>
        <v>460200199207014440</v>
      </c>
      <c r="L1147">
        <v>1630</v>
      </c>
      <c r="M1147" t="s">
        <v>1899</v>
      </c>
      <c r="O1147" t="str">
        <f>"460200199207014440"</f>
        <v>460200199207014440</v>
      </c>
    </row>
    <row r="1148" customFormat="1" spans="1:15">
      <c r="A1148">
        <v>1634</v>
      </c>
      <c r="B1148" t="s">
        <v>1900</v>
      </c>
      <c r="C1148" t="str">
        <f>"460003200012126649"</f>
        <v>460003200012126649</v>
      </c>
      <c r="D1148" t="str">
        <f>"248030401604"</f>
        <v>248030401604</v>
      </c>
      <c r="L1148">
        <v>1634</v>
      </c>
      <c r="M1148" t="s">
        <v>1900</v>
      </c>
      <c r="N1148" t="str">
        <f>"248030401604"</f>
        <v>248030401604</v>
      </c>
      <c r="O1148" t="str">
        <f>"460003200012126649"</f>
        <v>460003200012126649</v>
      </c>
    </row>
    <row r="1149" customFormat="1" spans="1:15">
      <c r="A1149">
        <v>1635</v>
      </c>
      <c r="B1149" t="s">
        <v>581</v>
      </c>
      <c r="C1149" t="str">
        <f>"460027199602290030"</f>
        <v>460027199602290030</v>
      </c>
      <c r="D1149" t="str">
        <f>"248030201104"</f>
        <v>248030201104</v>
      </c>
      <c r="L1149">
        <v>1635</v>
      </c>
      <c r="M1149" t="s">
        <v>581</v>
      </c>
      <c r="N1149" t="str">
        <f>"248030201104"</f>
        <v>248030201104</v>
      </c>
      <c r="O1149" t="str">
        <f>"460027199602290030"</f>
        <v>460027199602290030</v>
      </c>
    </row>
    <row r="1150" customFormat="1" spans="1:15">
      <c r="A1150">
        <v>1636</v>
      </c>
      <c r="B1150" t="s">
        <v>1901</v>
      </c>
      <c r="C1150" t="str">
        <f>"460200200307045346"</f>
        <v>460200200307045346</v>
      </c>
      <c r="D1150" t="str">
        <f>"248030203320"</f>
        <v>248030203320</v>
      </c>
      <c r="L1150">
        <v>1636</v>
      </c>
      <c r="M1150" t="s">
        <v>1901</v>
      </c>
      <c r="N1150" t="str">
        <f>"248030203320"</f>
        <v>248030203320</v>
      </c>
      <c r="O1150" t="str">
        <f>"460200200307045346"</f>
        <v>460200200307045346</v>
      </c>
    </row>
    <row r="1151" customFormat="1" spans="1:15">
      <c r="A1151">
        <v>1637</v>
      </c>
      <c r="B1151" t="s">
        <v>1902</v>
      </c>
      <c r="C1151" t="str">
        <f>"460027200201185673"</f>
        <v>460027200201185673</v>
      </c>
      <c r="D1151" t="str">
        <f>"248030402418"</f>
        <v>248030402418</v>
      </c>
      <c r="L1151">
        <v>1637</v>
      </c>
      <c r="M1151" t="s">
        <v>1902</v>
      </c>
      <c r="N1151" t="str">
        <f>"248030402418"</f>
        <v>248030402418</v>
      </c>
      <c r="O1151" t="str">
        <f>"460027200201185673"</f>
        <v>460027200201185673</v>
      </c>
    </row>
    <row r="1152" customFormat="1" spans="1:15">
      <c r="A1152">
        <v>1638</v>
      </c>
      <c r="B1152" t="s">
        <v>1903</v>
      </c>
      <c r="C1152" t="str">
        <f>"469027200103124787"</f>
        <v>469027200103124787</v>
      </c>
      <c r="D1152" t="str">
        <f>"248030302519"</f>
        <v>248030302519</v>
      </c>
      <c r="L1152">
        <v>1638</v>
      </c>
      <c r="M1152" t="s">
        <v>1903</v>
      </c>
      <c r="N1152" t="str">
        <f>"248030302519"</f>
        <v>248030302519</v>
      </c>
      <c r="O1152" t="str">
        <f>"469027200103124787"</f>
        <v>469027200103124787</v>
      </c>
    </row>
    <row r="1153" customFormat="1" spans="1:15">
      <c r="A1153">
        <v>1639</v>
      </c>
      <c r="B1153" t="s">
        <v>1904</v>
      </c>
      <c r="C1153" t="str">
        <f>"460033199609043881"</f>
        <v>460033199609043881</v>
      </c>
      <c r="L1153">
        <v>1639</v>
      </c>
      <c r="M1153" t="s">
        <v>1904</v>
      </c>
      <c r="O1153" t="str">
        <f>"460033199609043881"</f>
        <v>460033199609043881</v>
      </c>
    </row>
    <row r="1154" customFormat="1" spans="1:15">
      <c r="A1154">
        <v>1641</v>
      </c>
      <c r="B1154" t="s">
        <v>1905</v>
      </c>
      <c r="C1154" t="str">
        <f>"460031199909105244"</f>
        <v>460031199909105244</v>
      </c>
      <c r="D1154" t="str">
        <f>"248030301316"</f>
        <v>248030301316</v>
      </c>
      <c r="L1154">
        <v>1641</v>
      </c>
      <c r="M1154" t="s">
        <v>1905</v>
      </c>
      <c r="N1154" t="str">
        <f>"248030301316"</f>
        <v>248030301316</v>
      </c>
      <c r="O1154" t="str">
        <f>"460031199909105244"</f>
        <v>460031199909105244</v>
      </c>
    </row>
    <row r="1155" customFormat="1" spans="1:15">
      <c r="A1155">
        <v>1642</v>
      </c>
      <c r="B1155" t="s">
        <v>1906</v>
      </c>
      <c r="C1155" t="str">
        <f>"460004199506295224"</f>
        <v>460004199506295224</v>
      </c>
      <c r="D1155" t="str">
        <f>"248030201324"</f>
        <v>248030201324</v>
      </c>
      <c r="L1155">
        <v>1642</v>
      </c>
      <c r="M1155" t="s">
        <v>1906</v>
      </c>
      <c r="N1155" t="str">
        <f>"248030201324"</f>
        <v>248030201324</v>
      </c>
      <c r="O1155" t="str">
        <f>"460004199506295224"</f>
        <v>460004199506295224</v>
      </c>
    </row>
    <row r="1156" customFormat="1" spans="1:15">
      <c r="A1156">
        <v>1645</v>
      </c>
      <c r="B1156" t="s">
        <v>1907</v>
      </c>
      <c r="C1156" t="str">
        <f>"362202199509105074"</f>
        <v>362202199509105074</v>
      </c>
      <c r="L1156">
        <v>1645</v>
      </c>
      <c r="M1156" t="s">
        <v>1907</v>
      </c>
      <c r="O1156" t="str">
        <f>"362202199509105074"</f>
        <v>362202199509105074</v>
      </c>
    </row>
    <row r="1157" customFormat="1" spans="1:15">
      <c r="A1157">
        <v>1646</v>
      </c>
      <c r="B1157" t="s">
        <v>1908</v>
      </c>
      <c r="C1157" t="str">
        <f>"469024200104186817"</f>
        <v>469024200104186817</v>
      </c>
      <c r="L1157">
        <v>1646</v>
      </c>
      <c r="M1157" t="s">
        <v>1908</v>
      </c>
      <c r="O1157" t="str">
        <f>"469024200104186817"</f>
        <v>469024200104186817</v>
      </c>
    </row>
    <row r="1158" customFormat="1" spans="1:15">
      <c r="A1158">
        <v>1647</v>
      </c>
      <c r="B1158" t="s">
        <v>1909</v>
      </c>
      <c r="C1158" t="str">
        <f>"440982199611133440"</f>
        <v>440982199611133440</v>
      </c>
      <c r="D1158" t="str">
        <f>"248030402005"</f>
        <v>248030402005</v>
      </c>
      <c r="L1158">
        <v>1647</v>
      </c>
      <c r="M1158" t="s">
        <v>1909</v>
      </c>
      <c r="N1158" t="str">
        <f>"248030402005"</f>
        <v>248030402005</v>
      </c>
      <c r="O1158" t="str">
        <f>"440982199611133440"</f>
        <v>440982199611133440</v>
      </c>
    </row>
    <row r="1159" customFormat="1" spans="1:15">
      <c r="A1159">
        <v>1648</v>
      </c>
      <c r="B1159" t="s">
        <v>1910</v>
      </c>
      <c r="C1159" t="str">
        <f>"460007199712200029"</f>
        <v>460007199712200029</v>
      </c>
      <c r="D1159" t="str">
        <f>"248030401418"</f>
        <v>248030401418</v>
      </c>
      <c r="L1159">
        <v>1648</v>
      </c>
      <c r="M1159" t="s">
        <v>1910</v>
      </c>
      <c r="N1159" t="str">
        <f>"248030401418"</f>
        <v>248030401418</v>
      </c>
      <c r="O1159" t="str">
        <f>"460007199712200029"</f>
        <v>460007199712200029</v>
      </c>
    </row>
    <row r="1160" customFormat="1" spans="1:15">
      <c r="A1160">
        <v>1649</v>
      </c>
      <c r="B1160" t="s">
        <v>1911</v>
      </c>
      <c r="C1160" t="str">
        <f>"46003319900222394X"</f>
        <v>46003319900222394X</v>
      </c>
      <c r="D1160" t="str">
        <f>"248030401320"</f>
        <v>248030401320</v>
      </c>
      <c r="L1160">
        <v>1649</v>
      </c>
      <c r="M1160" t="s">
        <v>1911</v>
      </c>
      <c r="N1160" t="str">
        <f>"248030401320"</f>
        <v>248030401320</v>
      </c>
      <c r="O1160" t="str">
        <f>"46003319900222394X"</f>
        <v>46003319900222394X</v>
      </c>
    </row>
    <row r="1161" customFormat="1" spans="1:15">
      <c r="A1161">
        <v>1651</v>
      </c>
      <c r="B1161" t="s">
        <v>1912</v>
      </c>
      <c r="C1161" t="str">
        <f>"460300199807160041"</f>
        <v>460300199807160041</v>
      </c>
      <c r="L1161">
        <v>1651</v>
      </c>
      <c r="M1161" t="s">
        <v>1912</v>
      </c>
      <c r="O1161" t="str">
        <f>"460300199807160041"</f>
        <v>460300199807160041</v>
      </c>
    </row>
    <row r="1162" customFormat="1" spans="1:15">
      <c r="A1162">
        <v>1652</v>
      </c>
      <c r="B1162" t="s">
        <v>1913</v>
      </c>
      <c r="C1162" t="str">
        <f>"46000319991220466X"</f>
        <v>46000319991220466X</v>
      </c>
      <c r="D1162" t="str">
        <f>"248030504001"</f>
        <v>248030504001</v>
      </c>
      <c r="L1162">
        <v>1652</v>
      </c>
      <c r="M1162" t="s">
        <v>1913</v>
      </c>
      <c r="N1162" t="str">
        <f>"248030504001"</f>
        <v>248030504001</v>
      </c>
      <c r="O1162" t="str">
        <f>"46000319991220466X"</f>
        <v>46000319991220466X</v>
      </c>
    </row>
    <row r="1163" customFormat="1" spans="1:15">
      <c r="A1163">
        <v>1653</v>
      </c>
      <c r="B1163" t="s">
        <v>1914</v>
      </c>
      <c r="C1163" t="str">
        <f>"23072219980506001X"</f>
        <v>23072219980506001X</v>
      </c>
      <c r="L1163">
        <v>1653</v>
      </c>
      <c r="M1163" t="s">
        <v>1914</v>
      </c>
      <c r="O1163" t="str">
        <f>"23072219980506001X"</f>
        <v>23072219980506001X</v>
      </c>
    </row>
    <row r="1164" customFormat="1" spans="1:15">
      <c r="A1164">
        <v>1654</v>
      </c>
      <c r="B1164" t="s">
        <v>1915</v>
      </c>
      <c r="C1164" t="str">
        <f>"46003319980208321X"</f>
        <v>46003319980208321X</v>
      </c>
      <c r="L1164">
        <v>1654</v>
      </c>
      <c r="M1164" t="s">
        <v>1915</v>
      </c>
      <c r="O1164" t="str">
        <f>"46003319980208321X"</f>
        <v>46003319980208321X</v>
      </c>
    </row>
    <row r="1165" customFormat="1" spans="1:15">
      <c r="A1165">
        <v>1656</v>
      </c>
      <c r="B1165" t="s">
        <v>1916</v>
      </c>
      <c r="C1165" t="str">
        <f>"460102199103250921"</f>
        <v>460102199103250921</v>
      </c>
      <c r="D1165" t="str">
        <f>"248030502022"</f>
        <v>248030502022</v>
      </c>
      <c r="L1165">
        <v>1656</v>
      </c>
      <c r="M1165" t="s">
        <v>1916</v>
      </c>
      <c r="N1165" t="str">
        <f>"248030502022"</f>
        <v>248030502022</v>
      </c>
      <c r="O1165" t="str">
        <f>"460102199103250921"</f>
        <v>460102199103250921</v>
      </c>
    </row>
    <row r="1166" customFormat="1" spans="1:15">
      <c r="A1166">
        <v>1658</v>
      </c>
      <c r="B1166" t="s">
        <v>1917</v>
      </c>
      <c r="C1166" t="str">
        <f>"460004199306021421"</f>
        <v>460004199306021421</v>
      </c>
      <c r="D1166" t="str">
        <f>"248030104723"</f>
        <v>248030104723</v>
      </c>
      <c r="L1166">
        <v>1658</v>
      </c>
      <c r="M1166" t="s">
        <v>1917</v>
      </c>
      <c r="N1166" t="str">
        <f>"248030104723"</f>
        <v>248030104723</v>
      </c>
      <c r="O1166" t="str">
        <f>"460004199306021421"</f>
        <v>460004199306021421</v>
      </c>
    </row>
    <row r="1167" customFormat="1" spans="1:15">
      <c r="A1167">
        <v>1659</v>
      </c>
      <c r="B1167" t="s">
        <v>1918</v>
      </c>
      <c r="C1167" t="str">
        <f>"460103199901272427"</f>
        <v>460103199901272427</v>
      </c>
      <c r="D1167" t="str">
        <f>"248030401316"</f>
        <v>248030401316</v>
      </c>
      <c r="L1167">
        <v>1659</v>
      </c>
      <c r="M1167" t="s">
        <v>1918</v>
      </c>
      <c r="N1167" t="str">
        <f>"248030401316"</f>
        <v>248030401316</v>
      </c>
      <c r="O1167" t="str">
        <f>"460103199901272427"</f>
        <v>460103199901272427</v>
      </c>
    </row>
    <row r="1168" customFormat="1" spans="1:15">
      <c r="A1168">
        <v>1660</v>
      </c>
      <c r="B1168" t="s">
        <v>1919</v>
      </c>
      <c r="C1168" t="str">
        <f>"460027199209278529"</f>
        <v>460027199209278529</v>
      </c>
      <c r="D1168" t="str">
        <f>"248030203303"</f>
        <v>248030203303</v>
      </c>
      <c r="L1168">
        <v>1660</v>
      </c>
      <c r="M1168" t="s">
        <v>1919</v>
      </c>
      <c r="N1168" t="str">
        <f>"248030203303"</f>
        <v>248030203303</v>
      </c>
      <c r="O1168" t="str">
        <f>"460027199209278529"</f>
        <v>460027199209278529</v>
      </c>
    </row>
    <row r="1169" customFormat="1" spans="1:15">
      <c r="A1169">
        <v>1661</v>
      </c>
      <c r="B1169" t="s">
        <v>1920</v>
      </c>
      <c r="C1169" t="str">
        <f>"460028199405115627"</f>
        <v>460028199405115627</v>
      </c>
      <c r="D1169" t="str">
        <f>"248030403823"</f>
        <v>248030403823</v>
      </c>
      <c r="L1169">
        <v>1661</v>
      </c>
      <c r="M1169" t="s">
        <v>1920</v>
      </c>
      <c r="N1169" t="str">
        <f>"248030403823"</f>
        <v>248030403823</v>
      </c>
      <c r="O1169" t="str">
        <f>"460028199405115627"</f>
        <v>460028199405115627</v>
      </c>
    </row>
    <row r="1170" customFormat="1" spans="1:15">
      <c r="A1170">
        <v>1662</v>
      </c>
      <c r="B1170" t="s">
        <v>1921</v>
      </c>
      <c r="C1170" t="str">
        <f>"460022199211273725"</f>
        <v>460022199211273725</v>
      </c>
      <c r="D1170" t="str">
        <f>"248030503509"</f>
        <v>248030503509</v>
      </c>
      <c r="L1170">
        <v>1662</v>
      </c>
      <c r="M1170" t="s">
        <v>1921</v>
      </c>
      <c r="N1170" t="str">
        <f>"248030503509"</f>
        <v>248030503509</v>
      </c>
      <c r="O1170" t="str">
        <f>"460022199211273725"</f>
        <v>460022199211273725</v>
      </c>
    </row>
    <row r="1171" customFormat="1" spans="1:15">
      <c r="A1171">
        <v>1663</v>
      </c>
      <c r="B1171" t="s">
        <v>1922</v>
      </c>
      <c r="C1171" t="str">
        <f>"412828200104083045"</f>
        <v>412828200104083045</v>
      </c>
      <c r="D1171" t="str">
        <f>"248030301524"</f>
        <v>248030301524</v>
      </c>
      <c r="L1171">
        <v>1663</v>
      </c>
      <c r="M1171" t="s">
        <v>1922</v>
      </c>
      <c r="N1171" t="str">
        <f>"248030301524"</f>
        <v>248030301524</v>
      </c>
      <c r="O1171" t="str">
        <f>"412828200104083045"</f>
        <v>412828200104083045</v>
      </c>
    </row>
    <row r="1172" customFormat="1" spans="1:15">
      <c r="A1172">
        <v>1664</v>
      </c>
      <c r="B1172" t="s">
        <v>1923</v>
      </c>
      <c r="C1172" t="str">
        <f>"460103200111191214"</f>
        <v>460103200111191214</v>
      </c>
      <c r="D1172" t="str">
        <f>"248030301827"</f>
        <v>248030301827</v>
      </c>
      <c r="L1172">
        <v>1664</v>
      </c>
      <c r="M1172" t="s">
        <v>1923</v>
      </c>
      <c r="N1172" t="str">
        <f>"248030301827"</f>
        <v>248030301827</v>
      </c>
      <c r="O1172" t="str">
        <f>"460103200111191214"</f>
        <v>460103200111191214</v>
      </c>
    </row>
    <row r="1173" customFormat="1" spans="1:15">
      <c r="A1173">
        <v>1665</v>
      </c>
      <c r="B1173" t="s">
        <v>1924</v>
      </c>
      <c r="C1173" t="str">
        <f>"460006199705052324"</f>
        <v>460006199705052324</v>
      </c>
      <c r="D1173" t="str">
        <f>"248030101716"</f>
        <v>248030101716</v>
      </c>
      <c r="L1173">
        <v>1665</v>
      </c>
      <c r="M1173" t="s">
        <v>1924</v>
      </c>
      <c r="N1173" t="str">
        <f>"248030101716"</f>
        <v>248030101716</v>
      </c>
      <c r="O1173" t="str">
        <f>"460006199705052324"</f>
        <v>460006199705052324</v>
      </c>
    </row>
    <row r="1174" customFormat="1" spans="1:15">
      <c r="A1174">
        <v>1666</v>
      </c>
      <c r="B1174" t="s">
        <v>1925</v>
      </c>
      <c r="C1174" t="str">
        <f>"130526199009133426"</f>
        <v>130526199009133426</v>
      </c>
      <c r="L1174">
        <v>1666</v>
      </c>
      <c r="M1174" t="s">
        <v>1925</v>
      </c>
      <c r="O1174" t="str">
        <f>"130526199009133426"</f>
        <v>130526199009133426</v>
      </c>
    </row>
    <row r="1175" customFormat="1" spans="1:15">
      <c r="A1175">
        <v>1667</v>
      </c>
      <c r="B1175" t="s">
        <v>1926</v>
      </c>
      <c r="C1175" t="str">
        <f>"420106198703283261"</f>
        <v>420106198703283261</v>
      </c>
      <c r="D1175" t="str">
        <f>"248030500618"</f>
        <v>248030500618</v>
      </c>
      <c r="L1175">
        <v>1667</v>
      </c>
      <c r="M1175" t="s">
        <v>1926</v>
      </c>
      <c r="N1175" t="str">
        <f>"248030500618"</f>
        <v>248030500618</v>
      </c>
      <c r="O1175" t="str">
        <f>"420106198703283261"</f>
        <v>420106198703283261</v>
      </c>
    </row>
    <row r="1176" customFormat="1" spans="1:15">
      <c r="A1176">
        <v>1668</v>
      </c>
      <c r="B1176" t="s">
        <v>409</v>
      </c>
      <c r="C1176" t="str">
        <f>"460003200110012610"</f>
        <v>460003200110012610</v>
      </c>
      <c r="D1176" t="str">
        <f>"248030300130"</f>
        <v>248030300130</v>
      </c>
      <c r="L1176">
        <v>1668</v>
      </c>
      <c r="M1176" t="s">
        <v>409</v>
      </c>
      <c r="N1176" t="str">
        <f>"248030300130"</f>
        <v>248030300130</v>
      </c>
      <c r="O1176" t="str">
        <f>"460003200110012610"</f>
        <v>460003200110012610</v>
      </c>
    </row>
    <row r="1177" customFormat="1" spans="1:15">
      <c r="A1177">
        <v>1670</v>
      </c>
      <c r="B1177" t="s">
        <v>1927</v>
      </c>
      <c r="C1177" t="str">
        <f>"46003320000610322X"</f>
        <v>46003320000610322X</v>
      </c>
      <c r="D1177" t="str">
        <f>"248030404209"</f>
        <v>248030404209</v>
      </c>
      <c r="L1177">
        <v>1670</v>
      </c>
      <c r="M1177" t="s">
        <v>1927</v>
      </c>
      <c r="N1177" t="str">
        <f>"248030404209"</f>
        <v>248030404209</v>
      </c>
      <c r="O1177" t="str">
        <f>"46003320000610322X"</f>
        <v>46003320000610322X</v>
      </c>
    </row>
    <row r="1178" customFormat="1" spans="1:15">
      <c r="A1178">
        <v>1672</v>
      </c>
      <c r="B1178" t="s">
        <v>1928</v>
      </c>
      <c r="C1178" t="str">
        <f>"460002200201080321"</f>
        <v>460002200201080321</v>
      </c>
      <c r="D1178" t="str">
        <f>"248030302421"</f>
        <v>248030302421</v>
      </c>
      <c r="L1178">
        <v>1672</v>
      </c>
      <c r="M1178" t="s">
        <v>1928</v>
      </c>
      <c r="N1178" t="str">
        <f>"248030302421"</f>
        <v>248030302421</v>
      </c>
      <c r="O1178" t="str">
        <f>"460002200201080321"</f>
        <v>460002200201080321</v>
      </c>
    </row>
    <row r="1179" customFormat="1" spans="1:15">
      <c r="A1179">
        <v>1673</v>
      </c>
      <c r="B1179" t="s">
        <v>173</v>
      </c>
      <c r="C1179" t="str">
        <f>"460102200012111219"</f>
        <v>460102200012111219</v>
      </c>
      <c r="D1179" t="str">
        <f>"248030501210"</f>
        <v>248030501210</v>
      </c>
      <c r="L1179">
        <v>1673</v>
      </c>
      <c r="M1179" t="s">
        <v>173</v>
      </c>
      <c r="N1179" t="str">
        <f>"248030501210"</f>
        <v>248030501210</v>
      </c>
      <c r="O1179" t="str">
        <f>"460102200012111219"</f>
        <v>460102200012111219</v>
      </c>
    </row>
    <row r="1180" customFormat="1" spans="1:15">
      <c r="A1180">
        <v>1674</v>
      </c>
      <c r="B1180" t="s">
        <v>1929</v>
      </c>
      <c r="C1180" t="str">
        <f>"469027199904135982"</f>
        <v>469027199904135982</v>
      </c>
      <c r="D1180" t="str">
        <f>"248030101727"</f>
        <v>248030101727</v>
      </c>
      <c r="L1180">
        <v>1674</v>
      </c>
      <c r="M1180" t="s">
        <v>1929</v>
      </c>
      <c r="N1180" t="str">
        <f>"248030101727"</f>
        <v>248030101727</v>
      </c>
      <c r="O1180" t="str">
        <f>"469027199904135982"</f>
        <v>469027199904135982</v>
      </c>
    </row>
    <row r="1181" customFormat="1" spans="1:15">
      <c r="A1181">
        <v>1677</v>
      </c>
      <c r="B1181" t="s">
        <v>1930</v>
      </c>
      <c r="C1181" t="str">
        <f>"230603199601052128"</f>
        <v>230603199601052128</v>
      </c>
      <c r="L1181">
        <v>1677</v>
      </c>
      <c r="M1181" t="s">
        <v>1930</v>
      </c>
      <c r="O1181" t="str">
        <f>"230603199601052128"</f>
        <v>230603199601052128</v>
      </c>
    </row>
    <row r="1182" customFormat="1" spans="1:15">
      <c r="A1182">
        <v>1678</v>
      </c>
      <c r="B1182" t="s">
        <v>1931</v>
      </c>
      <c r="C1182" t="str">
        <f>"460102199001203024"</f>
        <v>460102199001203024</v>
      </c>
      <c r="D1182" t="str">
        <f>"248030103211"</f>
        <v>248030103211</v>
      </c>
      <c r="L1182">
        <v>1678</v>
      </c>
      <c r="M1182" t="s">
        <v>1931</v>
      </c>
      <c r="N1182" t="str">
        <f>"248030103211"</f>
        <v>248030103211</v>
      </c>
      <c r="O1182" t="str">
        <f>"460102199001203024"</f>
        <v>460102199001203024</v>
      </c>
    </row>
    <row r="1183" customFormat="1" spans="1:15">
      <c r="A1183">
        <v>1679</v>
      </c>
      <c r="B1183" t="s">
        <v>1932</v>
      </c>
      <c r="C1183" t="str">
        <f>"460006200004190623"</f>
        <v>460006200004190623</v>
      </c>
      <c r="D1183" t="str">
        <f>"248030503212"</f>
        <v>248030503212</v>
      </c>
      <c r="L1183">
        <v>1679</v>
      </c>
      <c r="M1183" t="s">
        <v>1932</v>
      </c>
      <c r="N1183" t="str">
        <f>"248030503212"</f>
        <v>248030503212</v>
      </c>
      <c r="O1183" t="str">
        <f>"460006200004190623"</f>
        <v>460006200004190623</v>
      </c>
    </row>
    <row r="1184" customFormat="1" spans="1:15">
      <c r="A1184">
        <v>1680</v>
      </c>
      <c r="B1184" t="s">
        <v>210</v>
      </c>
      <c r="C1184" t="str">
        <f>"460200199510245727"</f>
        <v>460200199510245727</v>
      </c>
      <c r="D1184" t="str">
        <f>"248030101428"</f>
        <v>248030101428</v>
      </c>
      <c r="L1184">
        <v>1680</v>
      </c>
      <c r="M1184" t="s">
        <v>210</v>
      </c>
      <c r="N1184" t="str">
        <f>"248030101428"</f>
        <v>248030101428</v>
      </c>
      <c r="O1184" t="str">
        <f>"460200199510245727"</f>
        <v>460200199510245727</v>
      </c>
    </row>
    <row r="1185" customFormat="1" spans="1:15">
      <c r="A1185">
        <v>1681</v>
      </c>
      <c r="B1185" t="s">
        <v>427</v>
      </c>
      <c r="C1185" t="str">
        <f>"460007199902130412"</f>
        <v>460007199902130412</v>
      </c>
      <c r="D1185" t="str">
        <f>"248030403101"</f>
        <v>248030403101</v>
      </c>
      <c r="L1185">
        <v>1681</v>
      </c>
      <c r="M1185" t="s">
        <v>427</v>
      </c>
      <c r="N1185" t="str">
        <f>"248030403101"</f>
        <v>248030403101</v>
      </c>
      <c r="O1185" t="str">
        <f>"460007199902130412"</f>
        <v>460007199902130412</v>
      </c>
    </row>
    <row r="1186" customFormat="1" spans="1:15">
      <c r="A1186">
        <v>1682</v>
      </c>
      <c r="B1186" t="s">
        <v>1933</v>
      </c>
      <c r="C1186" t="str">
        <f>"460026199910103069"</f>
        <v>460026199910103069</v>
      </c>
      <c r="L1186">
        <v>1682</v>
      </c>
      <c r="M1186" t="s">
        <v>1933</v>
      </c>
      <c r="O1186" t="str">
        <f>"460026199910103069"</f>
        <v>460026199910103069</v>
      </c>
    </row>
    <row r="1187" customFormat="1" spans="1:15">
      <c r="A1187">
        <v>1684</v>
      </c>
      <c r="B1187" t="s">
        <v>1934</v>
      </c>
      <c r="C1187" t="str">
        <f>"460026199312243328"</f>
        <v>460026199312243328</v>
      </c>
      <c r="D1187" t="str">
        <f>"248030300408"</f>
        <v>248030300408</v>
      </c>
      <c r="L1187">
        <v>1684</v>
      </c>
      <c r="M1187" t="s">
        <v>1934</v>
      </c>
      <c r="N1187" t="str">
        <f>"248030300408"</f>
        <v>248030300408</v>
      </c>
      <c r="O1187" t="str">
        <f>"460026199312243328"</f>
        <v>460026199312243328</v>
      </c>
    </row>
    <row r="1188" customFormat="1" spans="1:15">
      <c r="A1188">
        <v>1686</v>
      </c>
      <c r="B1188" t="s">
        <v>1935</v>
      </c>
      <c r="C1188" t="str">
        <f>"460004199104025029"</f>
        <v>460004199104025029</v>
      </c>
      <c r="L1188">
        <v>1686</v>
      </c>
      <c r="M1188" t="s">
        <v>1935</v>
      </c>
      <c r="O1188" t="str">
        <f>"460004199104025029"</f>
        <v>460004199104025029</v>
      </c>
    </row>
    <row r="1189" customFormat="1" spans="1:15">
      <c r="A1189">
        <v>1687</v>
      </c>
      <c r="B1189" t="s">
        <v>1936</v>
      </c>
      <c r="C1189" t="str">
        <f>"460002199906253848"</f>
        <v>460002199906253848</v>
      </c>
      <c r="D1189" t="str">
        <f>"248030100305"</f>
        <v>248030100305</v>
      </c>
      <c r="L1189">
        <v>1687</v>
      </c>
      <c r="M1189" t="s">
        <v>1936</v>
      </c>
      <c r="N1189" t="str">
        <f>"248030100305"</f>
        <v>248030100305</v>
      </c>
      <c r="O1189" t="str">
        <f>"460002199906253848"</f>
        <v>460002199906253848</v>
      </c>
    </row>
    <row r="1190" customFormat="1" spans="1:15">
      <c r="A1190">
        <v>1688</v>
      </c>
      <c r="B1190" t="s">
        <v>1937</v>
      </c>
      <c r="C1190" t="str">
        <f>"150429198412102913"</f>
        <v>150429198412102913</v>
      </c>
      <c r="D1190" t="str">
        <f>"248030402508"</f>
        <v>248030402508</v>
      </c>
      <c r="L1190">
        <v>1688</v>
      </c>
      <c r="M1190" t="s">
        <v>1937</v>
      </c>
      <c r="N1190" t="str">
        <f>"248030402508"</f>
        <v>248030402508</v>
      </c>
      <c r="O1190" t="str">
        <f>"150429198412102913"</f>
        <v>150429198412102913</v>
      </c>
    </row>
    <row r="1191" customFormat="1" spans="1:15">
      <c r="A1191">
        <v>1689</v>
      </c>
      <c r="B1191" t="s">
        <v>1938</v>
      </c>
      <c r="C1191" t="str">
        <f>"152102199707280020"</f>
        <v>152102199707280020</v>
      </c>
      <c r="D1191" t="str">
        <f>"248030402123"</f>
        <v>248030402123</v>
      </c>
      <c r="L1191">
        <v>1689</v>
      </c>
      <c r="M1191" t="s">
        <v>1938</v>
      </c>
      <c r="N1191" t="str">
        <f>"248030402123"</f>
        <v>248030402123</v>
      </c>
      <c r="O1191" t="str">
        <f>"152102199707280020"</f>
        <v>152102199707280020</v>
      </c>
    </row>
    <row r="1192" customFormat="1" spans="1:15">
      <c r="A1192">
        <v>1690</v>
      </c>
      <c r="B1192" t="s">
        <v>1939</v>
      </c>
      <c r="C1192" t="str">
        <f>"46003320010915322X"</f>
        <v>46003320010915322X</v>
      </c>
      <c r="D1192" t="str">
        <f>"248030403518"</f>
        <v>248030403518</v>
      </c>
      <c r="L1192">
        <v>1690</v>
      </c>
      <c r="M1192" t="s">
        <v>1939</v>
      </c>
      <c r="N1192" t="str">
        <f>"248030403518"</f>
        <v>248030403518</v>
      </c>
      <c r="O1192" t="str">
        <f>"46003320010915322X"</f>
        <v>46003320010915322X</v>
      </c>
    </row>
    <row r="1193" customFormat="1" spans="1:15">
      <c r="A1193">
        <v>1691</v>
      </c>
      <c r="B1193" t="s">
        <v>1940</v>
      </c>
      <c r="C1193" t="str">
        <f>"51152420010224466X"</f>
        <v>51152420010224466X</v>
      </c>
      <c r="D1193" t="str">
        <f>"248030200401"</f>
        <v>248030200401</v>
      </c>
      <c r="L1193">
        <v>1691</v>
      </c>
      <c r="M1193" t="s">
        <v>1940</v>
      </c>
      <c r="N1193" t="str">
        <f>"248030200401"</f>
        <v>248030200401</v>
      </c>
      <c r="O1193" t="str">
        <f>"51152420010224466X"</f>
        <v>51152420010224466X</v>
      </c>
    </row>
    <row r="1194" customFormat="1" spans="1:15">
      <c r="A1194">
        <v>1693</v>
      </c>
      <c r="B1194" t="s">
        <v>1941</v>
      </c>
      <c r="C1194" t="str">
        <f>"412723199108205924"</f>
        <v>412723199108205924</v>
      </c>
      <c r="D1194" t="str">
        <f>"248030201814"</f>
        <v>248030201814</v>
      </c>
      <c r="L1194">
        <v>1693</v>
      </c>
      <c r="M1194" t="s">
        <v>1941</v>
      </c>
      <c r="N1194" t="str">
        <f>"248030201814"</f>
        <v>248030201814</v>
      </c>
      <c r="O1194" t="str">
        <f>"412723199108205924"</f>
        <v>412723199108205924</v>
      </c>
    </row>
    <row r="1195" customFormat="1" spans="1:15">
      <c r="A1195">
        <v>1694</v>
      </c>
      <c r="B1195" t="s">
        <v>119</v>
      </c>
      <c r="C1195" t="str">
        <f>"152223199901282625"</f>
        <v>152223199901282625</v>
      </c>
      <c r="D1195" t="str">
        <f>"248030102106"</f>
        <v>248030102106</v>
      </c>
      <c r="L1195">
        <v>1694</v>
      </c>
      <c r="M1195" t="s">
        <v>119</v>
      </c>
      <c r="N1195" t="str">
        <f>"248030102106"</f>
        <v>248030102106</v>
      </c>
      <c r="O1195" t="str">
        <f>"152223199901282625"</f>
        <v>152223199901282625</v>
      </c>
    </row>
    <row r="1196" customFormat="1" spans="1:15">
      <c r="A1196">
        <v>1695</v>
      </c>
      <c r="B1196" t="s">
        <v>1942</v>
      </c>
      <c r="C1196" t="str">
        <f>"460006199805170221"</f>
        <v>460006199805170221</v>
      </c>
      <c r="D1196" t="str">
        <f>"248030302713"</f>
        <v>248030302713</v>
      </c>
      <c r="L1196">
        <v>1695</v>
      </c>
      <c r="M1196" t="s">
        <v>1942</v>
      </c>
      <c r="N1196" t="str">
        <f>"248030302713"</f>
        <v>248030302713</v>
      </c>
      <c r="O1196" t="str">
        <f>"460006199805170221"</f>
        <v>460006199805170221</v>
      </c>
    </row>
    <row r="1197" customFormat="1" spans="1:15">
      <c r="A1197">
        <v>1696</v>
      </c>
      <c r="B1197" t="s">
        <v>1943</v>
      </c>
      <c r="C1197" t="str">
        <f>"450211200107072224"</f>
        <v>450211200107072224</v>
      </c>
      <c r="D1197" t="str">
        <f>"248030300826"</f>
        <v>248030300826</v>
      </c>
      <c r="L1197">
        <v>1696</v>
      </c>
      <c r="M1197" t="s">
        <v>1943</v>
      </c>
      <c r="N1197" t="str">
        <f>"248030300826"</f>
        <v>248030300826</v>
      </c>
      <c r="O1197" t="str">
        <f>"450211200107072224"</f>
        <v>450211200107072224</v>
      </c>
    </row>
    <row r="1198" customFormat="1" spans="1:15">
      <c r="A1198">
        <v>1697</v>
      </c>
      <c r="B1198" t="s">
        <v>1944</v>
      </c>
      <c r="C1198" t="str">
        <f>"230903199507240321"</f>
        <v>230903199507240321</v>
      </c>
      <c r="D1198" t="str">
        <f>"248030104827"</f>
        <v>248030104827</v>
      </c>
      <c r="L1198">
        <v>1697</v>
      </c>
      <c r="M1198" t="s">
        <v>1944</v>
      </c>
      <c r="N1198" t="str">
        <f>"248030104827"</f>
        <v>248030104827</v>
      </c>
      <c r="O1198" t="str">
        <f>"230903199507240321"</f>
        <v>230903199507240321</v>
      </c>
    </row>
    <row r="1199" customFormat="1" spans="1:15">
      <c r="A1199">
        <v>1698</v>
      </c>
      <c r="B1199" t="s">
        <v>1945</v>
      </c>
      <c r="C1199" t="str">
        <f>"460028199409120036"</f>
        <v>460028199409120036</v>
      </c>
      <c r="D1199" t="str">
        <f>"248030104811"</f>
        <v>248030104811</v>
      </c>
      <c r="L1199">
        <v>1698</v>
      </c>
      <c r="M1199" t="s">
        <v>1945</v>
      </c>
      <c r="N1199" t="str">
        <f>"248030104811"</f>
        <v>248030104811</v>
      </c>
      <c r="O1199" t="str">
        <f>"460028199409120036"</f>
        <v>460028199409120036</v>
      </c>
    </row>
    <row r="1200" customFormat="1" spans="1:15">
      <c r="A1200">
        <v>1699</v>
      </c>
      <c r="B1200" t="s">
        <v>1946</v>
      </c>
      <c r="C1200" t="str">
        <f>"410802200010170038"</f>
        <v>410802200010170038</v>
      </c>
      <c r="D1200" t="str">
        <f>"248030202220"</f>
        <v>248030202220</v>
      </c>
      <c r="L1200">
        <v>1699</v>
      </c>
      <c r="M1200" t="s">
        <v>1946</v>
      </c>
      <c r="N1200" t="str">
        <f>"248030202220"</f>
        <v>248030202220</v>
      </c>
      <c r="O1200" t="str">
        <f>"410802200010170038"</f>
        <v>410802200010170038</v>
      </c>
    </row>
    <row r="1201" customFormat="1" spans="1:15">
      <c r="A1201">
        <v>1700</v>
      </c>
      <c r="B1201" t="s">
        <v>1947</v>
      </c>
      <c r="C1201" t="str">
        <f>"440883199610152317"</f>
        <v>440883199610152317</v>
      </c>
      <c r="L1201">
        <v>1700</v>
      </c>
      <c r="M1201" t="s">
        <v>1947</v>
      </c>
      <c r="O1201" t="str">
        <f>"440883199610152317"</f>
        <v>440883199610152317</v>
      </c>
    </row>
    <row r="1202" customFormat="1" spans="1:15">
      <c r="A1202">
        <v>1701</v>
      </c>
      <c r="B1202" t="s">
        <v>1948</v>
      </c>
      <c r="C1202" t="str">
        <f>"440881200005085948"</f>
        <v>440881200005085948</v>
      </c>
      <c r="D1202" t="str">
        <f>"248030504015"</f>
        <v>248030504015</v>
      </c>
      <c r="L1202">
        <v>1701</v>
      </c>
      <c r="M1202" t="s">
        <v>1948</v>
      </c>
      <c r="N1202" t="str">
        <f>"248030504015"</f>
        <v>248030504015</v>
      </c>
      <c r="O1202" t="str">
        <f>"440881200005085948"</f>
        <v>440881200005085948</v>
      </c>
    </row>
    <row r="1203" customFormat="1" spans="1:15">
      <c r="A1203">
        <v>1703</v>
      </c>
      <c r="B1203" t="s">
        <v>1949</v>
      </c>
      <c r="C1203" t="str">
        <f>"460028199310172821"</f>
        <v>460028199310172821</v>
      </c>
      <c r="D1203" t="str">
        <f>"248030103721"</f>
        <v>248030103721</v>
      </c>
      <c r="L1203">
        <v>1703</v>
      </c>
      <c r="M1203" t="s">
        <v>1949</v>
      </c>
      <c r="N1203" t="str">
        <f>"248030103721"</f>
        <v>248030103721</v>
      </c>
      <c r="O1203" t="str">
        <f>"460028199310172821"</f>
        <v>460028199310172821</v>
      </c>
    </row>
    <row r="1204" customFormat="1" spans="1:15">
      <c r="A1204">
        <v>1704</v>
      </c>
      <c r="B1204" t="s">
        <v>1950</v>
      </c>
      <c r="C1204" t="str">
        <f>"460006199612100411"</f>
        <v>460006199612100411</v>
      </c>
      <c r="L1204">
        <v>1704</v>
      </c>
      <c r="M1204" t="s">
        <v>1950</v>
      </c>
      <c r="O1204" t="str">
        <f>"460006199612100411"</f>
        <v>460006199612100411</v>
      </c>
    </row>
    <row r="1205" customFormat="1" spans="1:15">
      <c r="A1205">
        <v>1706</v>
      </c>
      <c r="B1205" t="s">
        <v>1951</v>
      </c>
      <c r="C1205" t="str">
        <f>"430527198310180021"</f>
        <v>430527198310180021</v>
      </c>
      <c r="D1205" t="str">
        <f>"248030203103"</f>
        <v>248030203103</v>
      </c>
      <c r="L1205">
        <v>1706</v>
      </c>
      <c r="M1205" t="s">
        <v>1951</v>
      </c>
      <c r="N1205" t="str">
        <f>"248030203103"</f>
        <v>248030203103</v>
      </c>
      <c r="O1205" t="str">
        <f>"430527198310180021"</f>
        <v>430527198310180021</v>
      </c>
    </row>
    <row r="1206" customFormat="1" spans="1:15">
      <c r="A1206">
        <v>1708</v>
      </c>
      <c r="B1206" t="s">
        <v>1952</v>
      </c>
      <c r="C1206" t="str">
        <f>"460028199903155242"</f>
        <v>460028199903155242</v>
      </c>
      <c r="L1206">
        <v>1708</v>
      </c>
      <c r="M1206" t="s">
        <v>1952</v>
      </c>
      <c r="O1206" t="str">
        <f>"460028199903155242"</f>
        <v>460028199903155242</v>
      </c>
    </row>
    <row r="1207" customFormat="1" spans="1:15">
      <c r="A1207">
        <v>1709</v>
      </c>
      <c r="B1207" t="s">
        <v>1953</v>
      </c>
      <c r="C1207" t="str">
        <f>"460104199510080969"</f>
        <v>460104199510080969</v>
      </c>
      <c r="D1207" t="str">
        <f>"248030401411"</f>
        <v>248030401411</v>
      </c>
      <c r="L1207">
        <v>1709</v>
      </c>
      <c r="M1207" t="s">
        <v>1953</v>
      </c>
      <c r="N1207" t="str">
        <f>"248030401411"</f>
        <v>248030401411</v>
      </c>
      <c r="O1207" t="str">
        <f>"460104199510080969"</f>
        <v>460104199510080969</v>
      </c>
    </row>
    <row r="1208" customFormat="1" spans="1:15">
      <c r="A1208">
        <v>1710</v>
      </c>
      <c r="B1208" t="s">
        <v>1954</v>
      </c>
      <c r="C1208" t="str">
        <f>"460006199910206521"</f>
        <v>460006199910206521</v>
      </c>
      <c r="D1208" t="str">
        <f>"248030301508"</f>
        <v>248030301508</v>
      </c>
      <c r="L1208">
        <v>1710</v>
      </c>
      <c r="M1208" t="s">
        <v>1954</v>
      </c>
      <c r="N1208" t="str">
        <f>"248030301508"</f>
        <v>248030301508</v>
      </c>
      <c r="O1208" t="str">
        <f>"460006199910206521"</f>
        <v>460006199910206521</v>
      </c>
    </row>
    <row r="1209" customFormat="1" spans="1:15">
      <c r="A1209">
        <v>1711</v>
      </c>
      <c r="B1209" t="s">
        <v>1955</v>
      </c>
      <c r="C1209" t="str">
        <f>"469024199810172046"</f>
        <v>469024199810172046</v>
      </c>
      <c r="D1209" t="str">
        <f>"248030502705"</f>
        <v>248030502705</v>
      </c>
      <c r="L1209">
        <v>1711</v>
      </c>
      <c r="M1209" t="s">
        <v>1955</v>
      </c>
      <c r="N1209" t="str">
        <f>"248030502705"</f>
        <v>248030502705</v>
      </c>
      <c r="O1209" t="str">
        <f>"469024199810172046"</f>
        <v>469024199810172046</v>
      </c>
    </row>
    <row r="1210" customFormat="1" spans="1:15">
      <c r="A1210">
        <v>1712</v>
      </c>
      <c r="B1210" t="s">
        <v>1956</v>
      </c>
      <c r="C1210" t="str">
        <f>"460031199209275242"</f>
        <v>460031199209275242</v>
      </c>
      <c r="D1210" t="str">
        <f>"248030200812"</f>
        <v>248030200812</v>
      </c>
      <c r="L1210">
        <v>1712</v>
      </c>
      <c r="M1210" t="s">
        <v>1956</v>
      </c>
      <c r="N1210" t="str">
        <f>"248030200812"</f>
        <v>248030200812</v>
      </c>
      <c r="O1210" t="str">
        <f>"460031199209275242"</f>
        <v>460031199209275242</v>
      </c>
    </row>
    <row r="1211" customFormat="1" spans="1:15">
      <c r="A1211">
        <v>1714</v>
      </c>
      <c r="B1211" t="s">
        <v>1957</v>
      </c>
      <c r="C1211" t="str">
        <f>"460004200110200220"</f>
        <v>460004200110200220</v>
      </c>
      <c r="L1211">
        <v>1714</v>
      </c>
      <c r="M1211" t="s">
        <v>1957</v>
      </c>
      <c r="O1211" t="str">
        <f>"460004200110200220"</f>
        <v>460004200110200220</v>
      </c>
    </row>
    <row r="1212" customFormat="1" spans="1:15">
      <c r="A1212">
        <v>1715</v>
      </c>
      <c r="B1212" t="s">
        <v>1958</v>
      </c>
      <c r="C1212" t="str">
        <f>"460007199709300029"</f>
        <v>460007199709300029</v>
      </c>
      <c r="D1212" t="str">
        <f>"248030400120"</f>
        <v>248030400120</v>
      </c>
      <c r="L1212">
        <v>1715</v>
      </c>
      <c r="M1212" t="s">
        <v>1958</v>
      </c>
      <c r="N1212" t="str">
        <f>"248030400120"</f>
        <v>248030400120</v>
      </c>
      <c r="O1212" t="str">
        <f>"460007199709300029"</f>
        <v>460007199709300029</v>
      </c>
    </row>
    <row r="1213" customFormat="1" spans="1:15">
      <c r="A1213">
        <v>1716</v>
      </c>
      <c r="B1213" t="s">
        <v>1959</v>
      </c>
      <c r="C1213" t="str">
        <f>"460006199504230227"</f>
        <v>460006199504230227</v>
      </c>
      <c r="D1213" t="str">
        <f>"248030200914"</f>
        <v>248030200914</v>
      </c>
      <c r="L1213">
        <v>1716</v>
      </c>
      <c r="M1213" t="s">
        <v>1959</v>
      </c>
      <c r="N1213" t="str">
        <f>"248030200914"</f>
        <v>248030200914</v>
      </c>
      <c r="O1213" t="str">
        <f>"460006199504230227"</f>
        <v>460006199504230227</v>
      </c>
    </row>
    <row r="1214" customFormat="1" spans="1:15">
      <c r="A1214">
        <v>1717</v>
      </c>
      <c r="B1214" t="s">
        <v>1960</v>
      </c>
      <c r="C1214" t="str">
        <f>"460028200211180020"</f>
        <v>460028200211180020</v>
      </c>
      <c r="D1214" t="str">
        <f>"248030500906"</f>
        <v>248030500906</v>
      </c>
      <c r="L1214">
        <v>1717</v>
      </c>
      <c r="M1214" t="s">
        <v>1960</v>
      </c>
      <c r="N1214" t="str">
        <f>"248030500906"</f>
        <v>248030500906</v>
      </c>
      <c r="O1214" t="str">
        <f>"460028200211180020"</f>
        <v>460028200211180020</v>
      </c>
    </row>
    <row r="1215" customFormat="1" spans="1:15">
      <c r="A1215">
        <v>1718</v>
      </c>
      <c r="B1215" t="s">
        <v>1961</v>
      </c>
      <c r="C1215" t="str">
        <f>"460006199309246821"</f>
        <v>460006199309246821</v>
      </c>
      <c r="D1215" t="str">
        <f>"248030104925"</f>
        <v>248030104925</v>
      </c>
      <c r="L1215">
        <v>1718</v>
      </c>
      <c r="M1215" t="s">
        <v>1961</v>
      </c>
      <c r="N1215" t="str">
        <f>"248030104925"</f>
        <v>248030104925</v>
      </c>
      <c r="O1215" t="str">
        <f>"460006199309246821"</f>
        <v>460006199309246821</v>
      </c>
    </row>
    <row r="1216" customFormat="1" spans="1:15">
      <c r="A1216">
        <v>1719</v>
      </c>
      <c r="B1216" t="s">
        <v>1962</v>
      </c>
      <c r="C1216" t="str">
        <f>"460007199508184367"</f>
        <v>460007199508184367</v>
      </c>
      <c r="D1216" t="str">
        <f>"248030102714"</f>
        <v>248030102714</v>
      </c>
      <c r="L1216">
        <v>1719</v>
      </c>
      <c r="M1216" t="s">
        <v>1962</v>
      </c>
      <c r="N1216" t="str">
        <f>"248030102714"</f>
        <v>248030102714</v>
      </c>
      <c r="O1216" t="str">
        <f>"460007199508184367"</f>
        <v>460007199508184367</v>
      </c>
    </row>
    <row r="1217" customFormat="1" spans="1:15">
      <c r="A1217">
        <v>1721</v>
      </c>
      <c r="B1217" t="s">
        <v>159</v>
      </c>
      <c r="C1217" t="str">
        <f>"460027199310132065"</f>
        <v>460027199310132065</v>
      </c>
      <c r="D1217" t="str">
        <f>"248030201530"</f>
        <v>248030201530</v>
      </c>
      <c r="L1217">
        <v>1721</v>
      </c>
      <c r="M1217" t="s">
        <v>159</v>
      </c>
      <c r="N1217" t="str">
        <f>"248030201530"</f>
        <v>248030201530</v>
      </c>
      <c r="O1217" t="str">
        <f>"460027199310132065"</f>
        <v>460027199310132065</v>
      </c>
    </row>
    <row r="1218" customFormat="1" spans="1:15">
      <c r="A1218">
        <v>1722</v>
      </c>
      <c r="B1218" t="s">
        <v>1963</v>
      </c>
      <c r="C1218" t="str">
        <f>"522126200101031041"</f>
        <v>522126200101031041</v>
      </c>
      <c r="D1218" t="str">
        <f>"248030203723"</f>
        <v>248030203723</v>
      </c>
      <c r="L1218">
        <v>1722</v>
      </c>
      <c r="M1218" t="s">
        <v>1963</v>
      </c>
      <c r="N1218" t="str">
        <f>"248030203723"</f>
        <v>248030203723</v>
      </c>
      <c r="O1218" t="str">
        <f>"522126200101031041"</f>
        <v>522126200101031041</v>
      </c>
    </row>
    <row r="1219" customFormat="1" spans="1:15">
      <c r="A1219">
        <v>1723</v>
      </c>
      <c r="B1219" t="s">
        <v>1964</v>
      </c>
      <c r="C1219" t="str">
        <f>"460004199611073041"</f>
        <v>460004199611073041</v>
      </c>
      <c r="D1219" t="str">
        <f>"248030102609"</f>
        <v>248030102609</v>
      </c>
      <c r="L1219">
        <v>1723</v>
      </c>
      <c r="M1219" t="s">
        <v>1964</v>
      </c>
      <c r="N1219" t="str">
        <f>"248030102609"</f>
        <v>248030102609</v>
      </c>
      <c r="O1219" t="str">
        <f>"460004199611073041"</f>
        <v>460004199611073041</v>
      </c>
    </row>
    <row r="1220" customFormat="1" spans="1:15">
      <c r="A1220">
        <v>1724</v>
      </c>
      <c r="B1220" t="s">
        <v>1965</v>
      </c>
      <c r="C1220" t="str">
        <f>"460006199610143127"</f>
        <v>460006199610143127</v>
      </c>
      <c r="D1220" t="str">
        <f>"248030403302"</f>
        <v>248030403302</v>
      </c>
      <c r="L1220">
        <v>1724</v>
      </c>
      <c r="M1220" t="s">
        <v>1965</v>
      </c>
      <c r="N1220" t="str">
        <f>"248030403302"</f>
        <v>248030403302</v>
      </c>
      <c r="O1220" t="str">
        <f>"460006199610143127"</f>
        <v>460006199610143127</v>
      </c>
    </row>
    <row r="1221" customFormat="1" spans="1:15">
      <c r="A1221">
        <v>1725</v>
      </c>
      <c r="B1221" t="s">
        <v>61</v>
      </c>
      <c r="C1221" t="str">
        <f>"460102199604080326"</f>
        <v>460102199604080326</v>
      </c>
      <c r="D1221" t="str">
        <f>"248030301630"</f>
        <v>248030301630</v>
      </c>
      <c r="L1221">
        <v>1725</v>
      </c>
      <c r="M1221" t="s">
        <v>61</v>
      </c>
      <c r="N1221" t="str">
        <f>"248030301630"</f>
        <v>248030301630</v>
      </c>
      <c r="O1221" t="str">
        <f>"460102199604080326"</f>
        <v>460102199604080326</v>
      </c>
    </row>
    <row r="1222" customFormat="1" spans="1:15">
      <c r="A1222">
        <v>1726</v>
      </c>
      <c r="B1222" t="s">
        <v>1966</v>
      </c>
      <c r="C1222" t="str">
        <f>"460031200108290027"</f>
        <v>460031200108290027</v>
      </c>
      <c r="D1222" t="str">
        <f>"248030503927"</f>
        <v>248030503927</v>
      </c>
      <c r="L1222">
        <v>1726</v>
      </c>
      <c r="M1222" t="s">
        <v>1966</v>
      </c>
      <c r="N1222" t="str">
        <f>"248030503927"</f>
        <v>248030503927</v>
      </c>
      <c r="O1222" t="str">
        <f>"460031200108290027"</f>
        <v>460031200108290027</v>
      </c>
    </row>
    <row r="1223" customFormat="1" spans="1:15">
      <c r="A1223">
        <v>1727</v>
      </c>
      <c r="B1223" t="s">
        <v>1967</v>
      </c>
      <c r="C1223" t="str">
        <f>"410928199912221870"</f>
        <v>410928199912221870</v>
      </c>
      <c r="L1223">
        <v>1727</v>
      </c>
      <c r="M1223" t="s">
        <v>1967</v>
      </c>
      <c r="O1223" t="str">
        <f>"410928199912221870"</f>
        <v>410928199912221870</v>
      </c>
    </row>
    <row r="1224" customFormat="1" spans="1:15">
      <c r="A1224">
        <v>1728</v>
      </c>
      <c r="B1224" t="s">
        <v>1968</v>
      </c>
      <c r="C1224" t="str">
        <f>"141025199909230028"</f>
        <v>141025199909230028</v>
      </c>
      <c r="D1224" t="str">
        <f>"248030202911"</f>
        <v>248030202911</v>
      </c>
      <c r="L1224">
        <v>1728</v>
      </c>
      <c r="M1224" t="s">
        <v>1968</v>
      </c>
      <c r="N1224" t="str">
        <f>"248030202911"</f>
        <v>248030202911</v>
      </c>
      <c r="O1224" t="str">
        <f>"141025199909230028"</f>
        <v>141025199909230028</v>
      </c>
    </row>
    <row r="1225" customFormat="1" spans="1:15">
      <c r="A1225">
        <v>1729</v>
      </c>
      <c r="B1225" t="s">
        <v>1969</v>
      </c>
      <c r="C1225" t="str">
        <f>"460006200005101629"</f>
        <v>460006200005101629</v>
      </c>
      <c r="D1225" t="str">
        <f>"248030401718"</f>
        <v>248030401718</v>
      </c>
      <c r="L1225">
        <v>1729</v>
      </c>
      <c r="M1225" t="s">
        <v>1969</v>
      </c>
      <c r="N1225" t="str">
        <f>"248030401718"</f>
        <v>248030401718</v>
      </c>
      <c r="O1225" t="str">
        <f>"460006200005101629"</f>
        <v>460006200005101629</v>
      </c>
    </row>
    <row r="1226" customFormat="1" spans="1:15">
      <c r="A1226">
        <v>1730</v>
      </c>
      <c r="B1226" t="s">
        <v>1970</v>
      </c>
      <c r="C1226" t="str">
        <f>"460006200103158127"</f>
        <v>460006200103158127</v>
      </c>
      <c r="D1226" t="str">
        <f>"248030300715"</f>
        <v>248030300715</v>
      </c>
      <c r="L1226">
        <v>1730</v>
      </c>
      <c r="M1226" t="s">
        <v>1970</v>
      </c>
      <c r="N1226" t="str">
        <f>"248030300715"</f>
        <v>248030300715</v>
      </c>
      <c r="O1226" t="str">
        <f>"460006200103158127"</f>
        <v>460006200103158127</v>
      </c>
    </row>
    <row r="1227" customFormat="1" spans="1:15">
      <c r="A1227">
        <v>1732</v>
      </c>
      <c r="B1227" t="s">
        <v>1971</v>
      </c>
      <c r="C1227" t="str">
        <f>"460003199910077644"</f>
        <v>460003199910077644</v>
      </c>
      <c r="D1227" t="str">
        <f>"248030401809"</f>
        <v>248030401809</v>
      </c>
      <c r="L1227">
        <v>1732</v>
      </c>
      <c r="M1227" t="s">
        <v>1971</v>
      </c>
      <c r="N1227" t="str">
        <f>"248030401809"</f>
        <v>248030401809</v>
      </c>
      <c r="O1227" t="str">
        <f>"460003199910077644"</f>
        <v>460003199910077644</v>
      </c>
    </row>
    <row r="1228" customFormat="1" spans="1:15">
      <c r="A1228">
        <v>1733</v>
      </c>
      <c r="B1228" t="s">
        <v>1972</v>
      </c>
      <c r="C1228" t="str">
        <f>"460006199704242345"</f>
        <v>460006199704242345</v>
      </c>
      <c r="D1228" t="str">
        <f>"248030102029"</f>
        <v>248030102029</v>
      </c>
      <c r="L1228">
        <v>1733</v>
      </c>
      <c r="M1228" t="s">
        <v>1972</v>
      </c>
      <c r="N1228" t="str">
        <f>"248030102029"</f>
        <v>248030102029</v>
      </c>
      <c r="O1228" t="str">
        <f>"460006199704242345"</f>
        <v>460006199704242345</v>
      </c>
    </row>
    <row r="1229" customFormat="1" spans="1:15">
      <c r="A1229">
        <v>1734</v>
      </c>
      <c r="B1229" t="s">
        <v>1973</v>
      </c>
      <c r="C1229" t="str">
        <f>"460003199308144023"</f>
        <v>460003199308144023</v>
      </c>
      <c r="D1229" t="str">
        <f>"248030402213"</f>
        <v>248030402213</v>
      </c>
      <c r="L1229">
        <v>1734</v>
      </c>
      <c r="M1229" t="s">
        <v>1973</v>
      </c>
      <c r="N1229" t="str">
        <f>"248030402213"</f>
        <v>248030402213</v>
      </c>
      <c r="O1229" t="str">
        <f>"460003199308144023"</f>
        <v>460003199308144023</v>
      </c>
    </row>
    <row r="1230" customFormat="1" spans="1:15">
      <c r="A1230">
        <v>1735</v>
      </c>
      <c r="B1230" t="s">
        <v>1974</v>
      </c>
      <c r="C1230" t="str">
        <f>"46002620001006272X"</f>
        <v>46002620001006272X</v>
      </c>
      <c r="D1230" t="str">
        <f>"248030200225"</f>
        <v>248030200225</v>
      </c>
      <c r="L1230">
        <v>1735</v>
      </c>
      <c r="M1230" t="s">
        <v>1974</v>
      </c>
      <c r="N1230" t="str">
        <f>"248030200225"</f>
        <v>248030200225</v>
      </c>
      <c r="O1230" t="str">
        <f>"46002620001006272X"</f>
        <v>46002620001006272X</v>
      </c>
    </row>
    <row r="1231" customFormat="1" spans="1:15">
      <c r="A1231">
        <v>1736</v>
      </c>
      <c r="B1231" t="s">
        <v>814</v>
      </c>
      <c r="C1231" t="str">
        <f>"46000419921006542X"</f>
        <v>46000419921006542X</v>
      </c>
      <c r="D1231" t="str">
        <f>"248030302806"</f>
        <v>248030302806</v>
      </c>
      <c r="L1231">
        <v>1736</v>
      </c>
      <c r="M1231" t="s">
        <v>814</v>
      </c>
      <c r="N1231" t="str">
        <f>"248030302806"</f>
        <v>248030302806</v>
      </c>
      <c r="O1231" t="str">
        <f>"46000419921006542X"</f>
        <v>46000419921006542X</v>
      </c>
    </row>
    <row r="1232" customFormat="1" spans="1:15">
      <c r="A1232">
        <v>1739</v>
      </c>
      <c r="B1232" t="s">
        <v>1975</v>
      </c>
      <c r="C1232" t="str">
        <f>"430407199508270536"</f>
        <v>430407199508270536</v>
      </c>
      <c r="D1232" t="str">
        <f>"248030401130"</f>
        <v>248030401130</v>
      </c>
      <c r="L1232">
        <v>1739</v>
      </c>
      <c r="M1232" t="s">
        <v>1975</v>
      </c>
      <c r="N1232" t="str">
        <f>"248030401130"</f>
        <v>248030401130</v>
      </c>
      <c r="O1232" t="str">
        <f>"430407199508270536"</f>
        <v>430407199508270536</v>
      </c>
    </row>
    <row r="1233" customFormat="1" spans="1:15">
      <c r="A1233">
        <v>1740</v>
      </c>
      <c r="B1233" t="s">
        <v>1976</v>
      </c>
      <c r="C1233" t="str">
        <f>"330724199702042448"</f>
        <v>330724199702042448</v>
      </c>
      <c r="L1233">
        <v>1740</v>
      </c>
      <c r="M1233" t="s">
        <v>1976</v>
      </c>
      <c r="O1233" t="str">
        <f>"330724199702042448"</f>
        <v>330724199702042448</v>
      </c>
    </row>
    <row r="1234" customFormat="1" spans="1:15">
      <c r="A1234">
        <v>1741</v>
      </c>
      <c r="B1234" t="s">
        <v>1977</v>
      </c>
      <c r="C1234" t="str">
        <f>"142726198609190029"</f>
        <v>142726198609190029</v>
      </c>
      <c r="D1234" t="str">
        <f>"248030500210"</f>
        <v>248030500210</v>
      </c>
      <c r="L1234">
        <v>1741</v>
      </c>
      <c r="M1234" t="s">
        <v>1977</v>
      </c>
      <c r="N1234" t="str">
        <f>"248030500210"</f>
        <v>248030500210</v>
      </c>
      <c r="O1234" t="str">
        <f>"142726198609190029"</f>
        <v>142726198609190029</v>
      </c>
    </row>
    <row r="1235" customFormat="1" spans="1:15">
      <c r="A1235">
        <v>1742</v>
      </c>
      <c r="B1235" t="s">
        <v>1978</v>
      </c>
      <c r="C1235" t="str">
        <f>"460200200010104018"</f>
        <v>460200200010104018</v>
      </c>
      <c r="D1235" t="str">
        <f>"248030203815"</f>
        <v>248030203815</v>
      </c>
      <c r="L1235">
        <v>1742</v>
      </c>
      <c r="M1235" t="s">
        <v>1978</v>
      </c>
      <c r="N1235" t="str">
        <f>"248030203815"</f>
        <v>248030203815</v>
      </c>
      <c r="O1235" t="str">
        <f>"460200200010104018"</f>
        <v>460200200010104018</v>
      </c>
    </row>
    <row r="1236" customFormat="1" spans="1:15">
      <c r="A1236">
        <v>1744</v>
      </c>
      <c r="B1236" t="s">
        <v>1979</v>
      </c>
      <c r="C1236" t="str">
        <f>"460033200111213228"</f>
        <v>460033200111213228</v>
      </c>
      <c r="D1236" t="str">
        <f>"248030504010"</f>
        <v>248030504010</v>
      </c>
      <c r="L1236">
        <v>1744</v>
      </c>
      <c r="M1236" t="s">
        <v>1979</v>
      </c>
      <c r="N1236" t="str">
        <f>"248030504010"</f>
        <v>248030504010</v>
      </c>
      <c r="O1236" t="str">
        <f>"460033200111213228"</f>
        <v>460033200111213228</v>
      </c>
    </row>
    <row r="1237" customFormat="1" spans="1:15">
      <c r="A1237">
        <v>1746</v>
      </c>
      <c r="B1237" t="s">
        <v>1980</v>
      </c>
      <c r="C1237" t="str">
        <f>"460102199501160665"</f>
        <v>460102199501160665</v>
      </c>
      <c r="D1237" t="str">
        <f>"248030401716"</f>
        <v>248030401716</v>
      </c>
      <c r="L1237">
        <v>1746</v>
      </c>
      <c r="M1237" t="s">
        <v>1980</v>
      </c>
      <c r="N1237" t="str">
        <f>"248030401716"</f>
        <v>248030401716</v>
      </c>
      <c r="O1237" t="str">
        <f>"460102199501160665"</f>
        <v>460102199501160665</v>
      </c>
    </row>
    <row r="1238" customFormat="1" spans="1:15">
      <c r="A1238">
        <v>1750</v>
      </c>
      <c r="B1238" t="s">
        <v>1981</v>
      </c>
      <c r="C1238" t="str">
        <f>"220323199203260420"</f>
        <v>220323199203260420</v>
      </c>
      <c r="L1238">
        <v>1750</v>
      </c>
      <c r="M1238" t="s">
        <v>1981</v>
      </c>
      <c r="O1238" t="str">
        <f>"220323199203260420"</f>
        <v>220323199203260420</v>
      </c>
    </row>
    <row r="1239" customFormat="1" spans="1:15">
      <c r="A1239">
        <v>1751</v>
      </c>
      <c r="B1239" t="s">
        <v>1982</v>
      </c>
      <c r="C1239" t="str">
        <f>"460007199310220027"</f>
        <v>460007199310220027</v>
      </c>
      <c r="D1239" t="str">
        <f>"248030200724"</f>
        <v>248030200724</v>
      </c>
      <c r="L1239">
        <v>1751</v>
      </c>
      <c r="M1239" t="s">
        <v>1982</v>
      </c>
      <c r="N1239" t="str">
        <f>"248030200724"</f>
        <v>248030200724</v>
      </c>
      <c r="O1239" t="str">
        <f>"460007199310220027"</f>
        <v>460007199310220027</v>
      </c>
    </row>
    <row r="1240" customFormat="1" spans="1:15">
      <c r="A1240">
        <v>1753</v>
      </c>
      <c r="B1240" t="s">
        <v>1983</v>
      </c>
      <c r="C1240" t="str">
        <f>"460004199706013420"</f>
        <v>460004199706013420</v>
      </c>
      <c r="L1240">
        <v>1753</v>
      </c>
      <c r="M1240" t="s">
        <v>1983</v>
      </c>
      <c r="O1240" t="str">
        <f>"460004199706013420"</f>
        <v>460004199706013420</v>
      </c>
    </row>
    <row r="1241" customFormat="1" spans="1:15">
      <c r="A1241">
        <v>1754</v>
      </c>
      <c r="B1241" t="s">
        <v>1984</v>
      </c>
      <c r="C1241" t="str">
        <f>"45072119970717224X"</f>
        <v>45072119970717224X</v>
      </c>
      <c r="D1241" t="str">
        <f>"248030503418"</f>
        <v>248030503418</v>
      </c>
      <c r="L1241">
        <v>1754</v>
      </c>
      <c r="M1241" t="s">
        <v>1984</v>
      </c>
      <c r="N1241" t="str">
        <f>"248030503418"</f>
        <v>248030503418</v>
      </c>
      <c r="O1241" t="str">
        <f>"45072119970717224X"</f>
        <v>45072119970717224X</v>
      </c>
    </row>
    <row r="1242" customFormat="1" spans="1:15">
      <c r="A1242">
        <v>1755</v>
      </c>
      <c r="B1242" t="s">
        <v>1985</v>
      </c>
      <c r="C1242" t="str">
        <f>"46000220020224181X"</f>
        <v>46000220020224181X</v>
      </c>
      <c r="D1242" t="str">
        <f>"248030201503"</f>
        <v>248030201503</v>
      </c>
      <c r="L1242">
        <v>1755</v>
      </c>
      <c r="M1242" t="s">
        <v>1985</v>
      </c>
      <c r="N1242" t="str">
        <f>"248030201503"</f>
        <v>248030201503</v>
      </c>
      <c r="O1242" t="str">
        <f>"46000220020224181X"</f>
        <v>46000220020224181X</v>
      </c>
    </row>
    <row r="1243" customFormat="1" spans="1:15">
      <c r="A1243">
        <v>1756</v>
      </c>
      <c r="B1243" t="s">
        <v>1986</v>
      </c>
      <c r="C1243" t="str">
        <f>"460106199808113826"</f>
        <v>460106199808113826</v>
      </c>
      <c r="L1243">
        <v>1756</v>
      </c>
      <c r="M1243" t="s">
        <v>1986</v>
      </c>
      <c r="O1243" t="str">
        <f>"460106199808113826"</f>
        <v>460106199808113826</v>
      </c>
    </row>
    <row r="1244" customFormat="1" spans="1:15">
      <c r="A1244">
        <v>1757</v>
      </c>
      <c r="B1244" t="s">
        <v>1987</v>
      </c>
      <c r="C1244" t="str">
        <f>"460003199802164011"</f>
        <v>460003199802164011</v>
      </c>
      <c r="D1244" t="str">
        <f>"248030401019"</f>
        <v>248030401019</v>
      </c>
      <c r="L1244">
        <v>1757</v>
      </c>
      <c r="M1244" t="s">
        <v>1987</v>
      </c>
      <c r="N1244" t="str">
        <f>"248030401019"</f>
        <v>248030401019</v>
      </c>
      <c r="O1244" t="str">
        <f>"460003199802164011"</f>
        <v>460003199802164011</v>
      </c>
    </row>
    <row r="1245" customFormat="1" spans="1:15">
      <c r="A1245">
        <v>1760</v>
      </c>
      <c r="B1245" t="s">
        <v>1988</v>
      </c>
      <c r="C1245" t="str">
        <f>"460030199409107212"</f>
        <v>460030199409107212</v>
      </c>
      <c r="L1245">
        <v>1760</v>
      </c>
      <c r="M1245" t="s">
        <v>1988</v>
      </c>
      <c r="O1245" t="str">
        <f>"460030199409107212"</f>
        <v>460030199409107212</v>
      </c>
    </row>
    <row r="1246" customFormat="1" spans="1:15">
      <c r="A1246">
        <v>1761</v>
      </c>
      <c r="B1246" t="s">
        <v>1989</v>
      </c>
      <c r="C1246" t="str">
        <f>"469007200307287224"</f>
        <v>469007200307287224</v>
      </c>
      <c r="D1246" t="str">
        <f>"248030202522"</f>
        <v>248030202522</v>
      </c>
      <c r="L1246">
        <v>1761</v>
      </c>
      <c r="M1246" t="s">
        <v>1989</v>
      </c>
      <c r="N1246" t="str">
        <f>"248030202522"</f>
        <v>248030202522</v>
      </c>
      <c r="O1246" t="str">
        <f>"469007200307287224"</f>
        <v>469007200307287224</v>
      </c>
    </row>
    <row r="1247" customFormat="1" spans="1:15">
      <c r="A1247">
        <v>1762</v>
      </c>
      <c r="B1247" t="s">
        <v>1990</v>
      </c>
      <c r="C1247" t="str">
        <f>"460025199007272425"</f>
        <v>460025199007272425</v>
      </c>
      <c r="D1247" t="str">
        <f>"248030203829"</f>
        <v>248030203829</v>
      </c>
      <c r="L1247">
        <v>1762</v>
      </c>
      <c r="M1247" t="s">
        <v>1990</v>
      </c>
      <c r="N1247" t="str">
        <f>"248030203829"</f>
        <v>248030203829</v>
      </c>
      <c r="O1247" t="str">
        <f>"460025199007272425"</f>
        <v>460025199007272425</v>
      </c>
    </row>
    <row r="1248" customFormat="1" spans="1:15">
      <c r="A1248">
        <v>1763</v>
      </c>
      <c r="B1248" t="s">
        <v>1991</v>
      </c>
      <c r="C1248" t="str">
        <f>"460004199010175229"</f>
        <v>460004199010175229</v>
      </c>
      <c r="D1248" t="str">
        <f>"248030203120"</f>
        <v>248030203120</v>
      </c>
      <c r="L1248">
        <v>1763</v>
      </c>
      <c r="M1248" t="s">
        <v>1991</v>
      </c>
      <c r="N1248" t="str">
        <f>"248030203120"</f>
        <v>248030203120</v>
      </c>
      <c r="O1248" t="str">
        <f>"460004199010175229"</f>
        <v>460004199010175229</v>
      </c>
    </row>
    <row r="1249" customFormat="1" spans="1:15">
      <c r="A1249">
        <v>1764</v>
      </c>
      <c r="B1249" t="s">
        <v>597</v>
      </c>
      <c r="C1249" t="str">
        <f>"460005200111080327"</f>
        <v>460005200111080327</v>
      </c>
      <c r="D1249" t="str">
        <f>"248030103512"</f>
        <v>248030103512</v>
      </c>
      <c r="L1249">
        <v>1764</v>
      </c>
      <c r="M1249" t="s">
        <v>597</v>
      </c>
      <c r="N1249" t="str">
        <f>"248030103512"</f>
        <v>248030103512</v>
      </c>
      <c r="O1249" t="str">
        <f>"460005200111080327"</f>
        <v>460005200111080327</v>
      </c>
    </row>
    <row r="1250" customFormat="1" spans="1:15">
      <c r="A1250">
        <v>1765</v>
      </c>
      <c r="B1250" t="s">
        <v>1992</v>
      </c>
      <c r="C1250" t="str">
        <f>"460030200101156021"</f>
        <v>460030200101156021</v>
      </c>
      <c r="D1250" t="str">
        <f>"248030401825"</f>
        <v>248030401825</v>
      </c>
      <c r="L1250">
        <v>1765</v>
      </c>
      <c r="M1250" t="s">
        <v>1992</v>
      </c>
      <c r="N1250" t="str">
        <f>"248030401825"</f>
        <v>248030401825</v>
      </c>
      <c r="O1250" t="str">
        <f>"460030200101156021"</f>
        <v>460030200101156021</v>
      </c>
    </row>
    <row r="1251" customFormat="1" spans="1:15">
      <c r="A1251">
        <v>1767</v>
      </c>
      <c r="B1251" t="s">
        <v>1993</v>
      </c>
      <c r="C1251" t="str">
        <f>"460028199407182436"</f>
        <v>460028199407182436</v>
      </c>
      <c r="D1251" t="str">
        <f>"248030104803"</f>
        <v>248030104803</v>
      </c>
      <c r="L1251">
        <v>1767</v>
      </c>
      <c r="M1251" t="s">
        <v>1993</v>
      </c>
      <c r="N1251" t="str">
        <f>"248030104803"</f>
        <v>248030104803</v>
      </c>
      <c r="O1251" t="str">
        <f>"460028199407182436"</f>
        <v>460028199407182436</v>
      </c>
    </row>
    <row r="1252" customFormat="1" spans="1:15">
      <c r="A1252">
        <v>1768</v>
      </c>
      <c r="B1252" t="s">
        <v>1994</v>
      </c>
      <c r="C1252" t="str">
        <f>"460027199806302021"</f>
        <v>460027199806302021</v>
      </c>
      <c r="L1252">
        <v>1768</v>
      </c>
      <c r="M1252" t="s">
        <v>1994</v>
      </c>
      <c r="O1252" t="str">
        <f>"460027199806302021"</f>
        <v>460027199806302021</v>
      </c>
    </row>
    <row r="1253" customFormat="1" spans="1:15">
      <c r="A1253">
        <v>1769</v>
      </c>
      <c r="B1253" t="s">
        <v>1995</v>
      </c>
      <c r="C1253" t="str">
        <f>"460003200007240025"</f>
        <v>460003200007240025</v>
      </c>
      <c r="D1253" t="str">
        <f>"248030202622"</f>
        <v>248030202622</v>
      </c>
      <c r="L1253">
        <v>1769</v>
      </c>
      <c r="M1253" t="s">
        <v>1995</v>
      </c>
      <c r="N1253" t="str">
        <f>"248030202622"</f>
        <v>248030202622</v>
      </c>
      <c r="O1253" t="str">
        <f>"460003200007240025"</f>
        <v>460003200007240025</v>
      </c>
    </row>
    <row r="1254" customFormat="1" spans="1:15">
      <c r="A1254">
        <v>1770</v>
      </c>
      <c r="B1254" t="s">
        <v>1996</v>
      </c>
      <c r="C1254" t="str">
        <f>"469024200204160024"</f>
        <v>469024200204160024</v>
      </c>
      <c r="L1254">
        <v>1770</v>
      </c>
      <c r="M1254" t="s">
        <v>1996</v>
      </c>
      <c r="O1254" t="str">
        <f>"469024200204160024"</f>
        <v>469024200204160024</v>
      </c>
    </row>
    <row r="1255" customFormat="1" spans="1:15">
      <c r="A1255">
        <v>1771</v>
      </c>
      <c r="B1255" t="s">
        <v>1997</v>
      </c>
      <c r="C1255" t="str">
        <f>"460006200204064429"</f>
        <v>460006200204064429</v>
      </c>
      <c r="D1255" t="str">
        <f>"248030300517"</f>
        <v>248030300517</v>
      </c>
      <c r="L1255">
        <v>1771</v>
      </c>
      <c r="M1255" t="s">
        <v>1997</v>
      </c>
      <c r="N1255" t="str">
        <f>"248030300517"</f>
        <v>248030300517</v>
      </c>
      <c r="O1255" t="str">
        <f>"460006200204064429"</f>
        <v>460006200204064429</v>
      </c>
    </row>
    <row r="1256" customFormat="1" spans="1:15">
      <c r="A1256">
        <v>1772</v>
      </c>
      <c r="B1256" t="s">
        <v>1998</v>
      </c>
      <c r="C1256" t="str">
        <f>"460031199304034025"</f>
        <v>460031199304034025</v>
      </c>
      <c r="D1256" t="str">
        <f>"248030103417"</f>
        <v>248030103417</v>
      </c>
      <c r="L1256">
        <v>1772</v>
      </c>
      <c r="M1256" t="s">
        <v>1998</v>
      </c>
      <c r="N1256" t="str">
        <f>"248030103417"</f>
        <v>248030103417</v>
      </c>
      <c r="O1256" t="str">
        <f>"460031199304034025"</f>
        <v>460031199304034025</v>
      </c>
    </row>
    <row r="1257" customFormat="1" spans="1:15">
      <c r="A1257">
        <v>1773</v>
      </c>
      <c r="B1257" t="s">
        <v>1999</v>
      </c>
      <c r="C1257" t="str">
        <f>"460002200007311026"</f>
        <v>460002200007311026</v>
      </c>
      <c r="D1257" t="str">
        <f>"248030404103"</f>
        <v>248030404103</v>
      </c>
      <c r="L1257">
        <v>1773</v>
      </c>
      <c r="M1257" t="s">
        <v>1999</v>
      </c>
      <c r="N1257" t="str">
        <f>"248030404103"</f>
        <v>248030404103</v>
      </c>
      <c r="O1257" t="str">
        <f>"460002200007311026"</f>
        <v>460002200007311026</v>
      </c>
    </row>
    <row r="1258" customFormat="1" spans="1:15">
      <c r="A1258">
        <v>1774</v>
      </c>
      <c r="B1258" t="s">
        <v>2000</v>
      </c>
      <c r="C1258" t="str">
        <f>"530628200103183129"</f>
        <v>530628200103183129</v>
      </c>
      <c r="D1258" t="str">
        <f>"248030104601"</f>
        <v>248030104601</v>
      </c>
      <c r="L1258">
        <v>1774</v>
      </c>
      <c r="M1258" t="s">
        <v>2000</v>
      </c>
      <c r="N1258" t="str">
        <f>"248030104601"</f>
        <v>248030104601</v>
      </c>
      <c r="O1258" t="str">
        <f>"530628200103183129"</f>
        <v>530628200103183129</v>
      </c>
    </row>
    <row r="1259" customFormat="1" spans="1:15">
      <c r="A1259">
        <v>1775</v>
      </c>
      <c r="B1259" t="s">
        <v>2001</v>
      </c>
      <c r="C1259" t="str">
        <f>"220702200208029725"</f>
        <v>220702200208029725</v>
      </c>
      <c r="L1259">
        <v>1775</v>
      </c>
      <c r="M1259" t="s">
        <v>2001</v>
      </c>
      <c r="O1259" t="str">
        <f>"220702200208029725"</f>
        <v>220702200208029725</v>
      </c>
    </row>
    <row r="1260" customFormat="1" spans="1:15">
      <c r="A1260">
        <v>1777</v>
      </c>
      <c r="B1260" t="s">
        <v>2002</v>
      </c>
      <c r="C1260" t="str">
        <f>"46902620020925564X"</f>
        <v>46902620020925564X</v>
      </c>
      <c r="D1260" t="str">
        <f>"248030100509"</f>
        <v>248030100509</v>
      </c>
      <c r="L1260">
        <v>1777</v>
      </c>
      <c r="M1260" t="s">
        <v>2002</v>
      </c>
      <c r="N1260" t="str">
        <f>"248030100509"</f>
        <v>248030100509</v>
      </c>
      <c r="O1260" t="str">
        <f>"46902620020925564X"</f>
        <v>46902620020925564X</v>
      </c>
    </row>
    <row r="1261" customFormat="1" spans="1:15">
      <c r="A1261">
        <v>1778</v>
      </c>
      <c r="B1261" t="s">
        <v>2003</v>
      </c>
      <c r="C1261" t="str">
        <f>"469007200003184381"</f>
        <v>469007200003184381</v>
      </c>
      <c r="D1261" t="str">
        <f>"248030502625"</f>
        <v>248030502625</v>
      </c>
      <c r="L1261">
        <v>1778</v>
      </c>
      <c r="M1261" t="s">
        <v>2003</v>
      </c>
      <c r="N1261" t="str">
        <f>"248030502625"</f>
        <v>248030502625</v>
      </c>
      <c r="O1261" t="str">
        <f>"469007200003184381"</f>
        <v>469007200003184381</v>
      </c>
    </row>
    <row r="1262" customFormat="1" spans="1:15">
      <c r="A1262">
        <v>1779</v>
      </c>
      <c r="B1262" t="s">
        <v>2004</v>
      </c>
      <c r="C1262" t="str">
        <f>"460103200003231223"</f>
        <v>460103200003231223</v>
      </c>
      <c r="D1262" t="str">
        <f>"248030100710"</f>
        <v>248030100710</v>
      </c>
      <c r="L1262">
        <v>1779</v>
      </c>
      <c r="M1262" t="s">
        <v>2004</v>
      </c>
      <c r="N1262" t="str">
        <f>"248030100710"</f>
        <v>248030100710</v>
      </c>
      <c r="O1262" t="str">
        <f>"460103200003231223"</f>
        <v>460103200003231223</v>
      </c>
    </row>
    <row r="1263" customFormat="1" spans="1:15">
      <c r="A1263">
        <v>1780</v>
      </c>
      <c r="B1263" t="s">
        <v>2005</v>
      </c>
      <c r="C1263" t="str">
        <f>"460003199211142216"</f>
        <v>460003199211142216</v>
      </c>
      <c r="D1263" t="str">
        <f>"248030402326"</f>
        <v>248030402326</v>
      </c>
      <c r="L1263">
        <v>1780</v>
      </c>
      <c r="M1263" t="s">
        <v>2005</v>
      </c>
      <c r="N1263" t="str">
        <f>"248030402326"</f>
        <v>248030402326</v>
      </c>
      <c r="O1263" t="str">
        <f>"460003199211142216"</f>
        <v>460003199211142216</v>
      </c>
    </row>
    <row r="1264" customFormat="1" spans="1:15">
      <c r="A1264">
        <v>1781</v>
      </c>
      <c r="B1264" t="s">
        <v>2006</v>
      </c>
      <c r="C1264" t="str">
        <f>"469003200005100027"</f>
        <v>469003200005100027</v>
      </c>
      <c r="D1264" t="str">
        <f>"248030101201"</f>
        <v>248030101201</v>
      </c>
      <c r="L1264">
        <v>1781</v>
      </c>
      <c r="M1264" t="s">
        <v>2006</v>
      </c>
      <c r="N1264" t="str">
        <f>"248030101201"</f>
        <v>248030101201</v>
      </c>
      <c r="O1264" t="str">
        <f>"469003200005100027"</f>
        <v>469003200005100027</v>
      </c>
    </row>
    <row r="1265" customFormat="1" spans="1:15">
      <c r="A1265">
        <v>1783</v>
      </c>
      <c r="B1265" t="s">
        <v>2007</v>
      </c>
      <c r="C1265" t="str">
        <f>"460007200101195780"</f>
        <v>460007200101195780</v>
      </c>
      <c r="D1265" t="str">
        <f>"248030301309"</f>
        <v>248030301309</v>
      </c>
      <c r="L1265">
        <v>1783</v>
      </c>
      <c r="M1265" t="s">
        <v>2007</v>
      </c>
      <c r="N1265" t="str">
        <f>"248030301309"</f>
        <v>248030301309</v>
      </c>
      <c r="O1265" t="str">
        <f>"460007200101195780"</f>
        <v>460007200101195780</v>
      </c>
    </row>
    <row r="1266" customFormat="1" spans="1:15">
      <c r="A1266">
        <v>1785</v>
      </c>
      <c r="B1266" t="s">
        <v>2008</v>
      </c>
      <c r="C1266" t="str">
        <f>"460003199412082424"</f>
        <v>460003199412082424</v>
      </c>
      <c r="D1266" t="str">
        <f>"248030401818"</f>
        <v>248030401818</v>
      </c>
      <c r="L1266">
        <v>1785</v>
      </c>
      <c r="M1266" t="s">
        <v>2008</v>
      </c>
      <c r="N1266" t="str">
        <f>"248030401818"</f>
        <v>248030401818</v>
      </c>
      <c r="O1266" t="str">
        <f>"460003199412082424"</f>
        <v>460003199412082424</v>
      </c>
    </row>
    <row r="1267" customFormat="1" spans="1:15">
      <c r="A1267">
        <v>1786</v>
      </c>
      <c r="B1267" t="s">
        <v>2009</v>
      </c>
      <c r="C1267" t="str">
        <f>"460028199807140024"</f>
        <v>460028199807140024</v>
      </c>
      <c r="D1267" t="str">
        <f>"248030102004"</f>
        <v>248030102004</v>
      </c>
      <c r="L1267">
        <v>1786</v>
      </c>
      <c r="M1267" t="s">
        <v>2009</v>
      </c>
      <c r="N1267" t="str">
        <f>"248030102004"</f>
        <v>248030102004</v>
      </c>
      <c r="O1267" t="str">
        <f>"460028199807140024"</f>
        <v>460028199807140024</v>
      </c>
    </row>
    <row r="1268" customFormat="1" spans="1:15">
      <c r="A1268">
        <v>1787</v>
      </c>
      <c r="B1268" t="s">
        <v>2010</v>
      </c>
      <c r="C1268" t="str">
        <f>"460200199407185527"</f>
        <v>460200199407185527</v>
      </c>
      <c r="D1268" t="str">
        <f>"248030502303"</f>
        <v>248030502303</v>
      </c>
      <c r="L1268">
        <v>1787</v>
      </c>
      <c r="M1268" t="s">
        <v>2010</v>
      </c>
      <c r="N1268" t="str">
        <f>"248030502303"</f>
        <v>248030502303</v>
      </c>
      <c r="O1268" t="str">
        <f>"460200199407185527"</f>
        <v>460200199407185527</v>
      </c>
    </row>
    <row r="1269" customFormat="1" spans="1:15">
      <c r="A1269">
        <v>1788</v>
      </c>
      <c r="B1269" t="s">
        <v>2011</v>
      </c>
      <c r="C1269" t="str">
        <f>"460004200203020827"</f>
        <v>460004200203020827</v>
      </c>
      <c r="D1269" t="str">
        <f>"248030503808"</f>
        <v>248030503808</v>
      </c>
      <c r="L1269">
        <v>1788</v>
      </c>
      <c r="M1269" t="s">
        <v>2011</v>
      </c>
      <c r="N1269" t="str">
        <f>"248030503808"</f>
        <v>248030503808</v>
      </c>
      <c r="O1269" t="str">
        <f>"460004200203020827"</f>
        <v>460004200203020827</v>
      </c>
    </row>
    <row r="1270" customFormat="1" spans="1:15">
      <c r="A1270">
        <v>1789</v>
      </c>
      <c r="B1270" t="s">
        <v>2012</v>
      </c>
      <c r="C1270" t="str">
        <f>"652923200012180022"</f>
        <v>652923200012180022</v>
      </c>
      <c r="L1270">
        <v>1789</v>
      </c>
      <c r="M1270" t="s">
        <v>2012</v>
      </c>
      <c r="O1270" t="str">
        <f>"652923200012180022"</f>
        <v>652923200012180022</v>
      </c>
    </row>
    <row r="1271" customFormat="1" spans="1:15">
      <c r="A1271">
        <v>1790</v>
      </c>
      <c r="B1271" t="s">
        <v>2013</v>
      </c>
      <c r="C1271" t="str">
        <f>"460025199312140621"</f>
        <v>460025199312140621</v>
      </c>
      <c r="L1271">
        <v>1790</v>
      </c>
      <c r="M1271" t="s">
        <v>2013</v>
      </c>
      <c r="O1271" t="str">
        <f>"460025199312140621"</f>
        <v>460025199312140621</v>
      </c>
    </row>
    <row r="1272" customFormat="1" spans="1:15">
      <c r="A1272">
        <v>1791</v>
      </c>
      <c r="B1272" t="s">
        <v>2014</v>
      </c>
      <c r="C1272" t="str">
        <f>"460200199702080525"</f>
        <v>460200199702080525</v>
      </c>
      <c r="D1272" t="str">
        <f>"248030502617"</f>
        <v>248030502617</v>
      </c>
      <c r="L1272">
        <v>1791</v>
      </c>
      <c r="M1272" t="s">
        <v>2014</v>
      </c>
      <c r="N1272" t="str">
        <f>"248030502617"</f>
        <v>248030502617</v>
      </c>
      <c r="O1272" t="str">
        <f>"460200199702080525"</f>
        <v>460200199702080525</v>
      </c>
    </row>
    <row r="1273" customFormat="1" spans="1:15">
      <c r="A1273">
        <v>1792</v>
      </c>
      <c r="B1273" t="s">
        <v>2015</v>
      </c>
      <c r="C1273" t="str">
        <f>"469023200207030026"</f>
        <v>469023200207030026</v>
      </c>
      <c r="D1273" t="str">
        <f>"248030503110"</f>
        <v>248030503110</v>
      </c>
      <c r="L1273">
        <v>1792</v>
      </c>
      <c r="M1273" t="s">
        <v>2015</v>
      </c>
      <c r="N1273" t="str">
        <f>"248030503110"</f>
        <v>248030503110</v>
      </c>
      <c r="O1273" t="str">
        <f>"469023200207030026"</f>
        <v>469023200207030026</v>
      </c>
    </row>
    <row r="1274" customFormat="1" spans="1:15">
      <c r="A1274">
        <v>1793</v>
      </c>
      <c r="B1274" t="s">
        <v>2016</v>
      </c>
      <c r="C1274" t="str">
        <f>"362502199908280845"</f>
        <v>362502199908280845</v>
      </c>
      <c r="L1274">
        <v>1793</v>
      </c>
      <c r="M1274" t="s">
        <v>2016</v>
      </c>
      <c r="O1274" t="str">
        <f>"362502199908280845"</f>
        <v>362502199908280845</v>
      </c>
    </row>
    <row r="1275" customFormat="1" spans="1:15">
      <c r="A1275">
        <v>1794</v>
      </c>
      <c r="B1275" t="s">
        <v>2017</v>
      </c>
      <c r="C1275" t="str">
        <f>"460103199808130926"</f>
        <v>460103199808130926</v>
      </c>
      <c r="D1275" t="str">
        <f>"248030300427"</f>
        <v>248030300427</v>
      </c>
      <c r="L1275">
        <v>1794</v>
      </c>
      <c r="M1275" t="s">
        <v>2017</v>
      </c>
      <c r="N1275" t="str">
        <f>"248030300427"</f>
        <v>248030300427</v>
      </c>
      <c r="O1275" t="str">
        <f>"460103199808130926"</f>
        <v>460103199808130926</v>
      </c>
    </row>
    <row r="1276" customFormat="1" spans="1:15">
      <c r="A1276">
        <v>1797</v>
      </c>
      <c r="B1276" t="s">
        <v>2018</v>
      </c>
      <c r="C1276" t="str">
        <f>"460004199502155224"</f>
        <v>460004199502155224</v>
      </c>
      <c r="D1276" t="str">
        <f>"248030502027"</f>
        <v>248030502027</v>
      </c>
      <c r="L1276">
        <v>1797</v>
      </c>
      <c r="M1276" t="s">
        <v>2018</v>
      </c>
      <c r="N1276" t="str">
        <f>"248030502027"</f>
        <v>248030502027</v>
      </c>
      <c r="O1276" t="str">
        <f>"460004199502155224"</f>
        <v>460004199502155224</v>
      </c>
    </row>
    <row r="1277" customFormat="1" spans="1:15">
      <c r="A1277">
        <v>1799</v>
      </c>
      <c r="B1277" t="s">
        <v>2019</v>
      </c>
      <c r="C1277" t="str">
        <f>"469023200011222923"</f>
        <v>469023200011222923</v>
      </c>
      <c r="D1277" t="str">
        <f>"248030503908"</f>
        <v>248030503908</v>
      </c>
      <c r="L1277">
        <v>1799</v>
      </c>
      <c r="M1277" t="s">
        <v>2019</v>
      </c>
      <c r="N1277" t="str">
        <f>"248030503908"</f>
        <v>248030503908</v>
      </c>
      <c r="O1277" t="str">
        <f>"469023200011222923"</f>
        <v>469023200011222923</v>
      </c>
    </row>
    <row r="1278" customFormat="1" spans="1:15">
      <c r="A1278">
        <v>1801</v>
      </c>
      <c r="B1278" t="s">
        <v>2020</v>
      </c>
      <c r="C1278" t="str">
        <f>"46010319950528272X"</f>
        <v>46010319950528272X</v>
      </c>
      <c r="D1278" t="str">
        <f>"248030404013"</f>
        <v>248030404013</v>
      </c>
      <c r="L1278">
        <v>1801</v>
      </c>
      <c r="M1278" t="s">
        <v>2020</v>
      </c>
      <c r="N1278" t="str">
        <f>"248030404013"</f>
        <v>248030404013</v>
      </c>
      <c r="O1278" t="str">
        <f>"46010319950528272X"</f>
        <v>46010319950528272X</v>
      </c>
    </row>
    <row r="1279" customFormat="1" spans="1:15">
      <c r="A1279">
        <v>1802</v>
      </c>
      <c r="B1279" t="s">
        <v>2021</v>
      </c>
      <c r="C1279" t="str">
        <f>"511302199109051444"</f>
        <v>511302199109051444</v>
      </c>
      <c r="D1279" t="str">
        <f>"248030400824"</f>
        <v>248030400824</v>
      </c>
      <c r="L1279">
        <v>1802</v>
      </c>
      <c r="M1279" t="s">
        <v>2021</v>
      </c>
      <c r="N1279" t="str">
        <f>"248030400824"</f>
        <v>248030400824</v>
      </c>
      <c r="O1279" t="str">
        <f>"511302199109051444"</f>
        <v>511302199109051444</v>
      </c>
    </row>
    <row r="1280" customFormat="1" spans="1:15">
      <c r="A1280">
        <v>1803</v>
      </c>
      <c r="B1280" t="s">
        <v>2022</v>
      </c>
      <c r="C1280" t="str">
        <f>"460007200012175366"</f>
        <v>460007200012175366</v>
      </c>
      <c r="D1280" t="str">
        <f>"248030103610"</f>
        <v>248030103610</v>
      </c>
      <c r="L1280">
        <v>1803</v>
      </c>
      <c r="M1280" t="s">
        <v>2022</v>
      </c>
      <c r="N1280" t="str">
        <f>"248030103610"</f>
        <v>248030103610</v>
      </c>
      <c r="O1280" t="str">
        <f>"460007200012175366"</f>
        <v>460007200012175366</v>
      </c>
    </row>
    <row r="1281" customFormat="1" spans="1:15">
      <c r="A1281">
        <v>1804</v>
      </c>
      <c r="B1281" t="s">
        <v>2023</v>
      </c>
      <c r="C1281" t="str">
        <f>"511321199910201590"</f>
        <v>511321199910201590</v>
      </c>
      <c r="L1281">
        <v>1804</v>
      </c>
      <c r="M1281" t="s">
        <v>2023</v>
      </c>
      <c r="O1281" t="str">
        <f>"511321199910201590"</f>
        <v>511321199910201590</v>
      </c>
    </row>
    <row r="1282" customFormat="1" spans="1:15">
      <c r="A1282">
        <v>1805</v>
      </c>
      <c r="B1282" t="s">
        <v>2024</v>
      </c>
      <c r="C1282" t="str">
        <f>"460033199902273221"</f>
        <v>460033199902273221</v>
      </c>
      <c r="D1282" t="str">
        <f>"248030504106"</f>
        <v>248030504106</v>
      </c>
      <c r="L1282">
        <v>1805</v>
      </c>
      <c r="M1282" t="s">
        <v>2024</v>
      </c>
      <c r="N1282" t="str">
        <f>"248030504106"</f>
        <v>248030504106</v>
      </c>
      <c r="O1282" t="str">
        <f>"460033199902273221"</f>
        <v>460033199902273221</v>
      </c>
    </row>
    <row r="1283" customFormat="1" spans="1:15">
      <c r="A1283">
        <v>1806</v>
      </c>
      <c r="B1283" t="s">
        <v>2025</v>
      </c>
      <c r="C1283" t="str">
        <f>"460004200109101428"</f>
        <v>460004200109101428</v>
      </c>
      <c r="D1283" t="str">
        <f>"248030503817"</f>
        <v>248030503817</v>
      </c>
      <c r="L1283">
        <v>1806</v>
      </c>
      <c r="M1283" t="s">
        <v>2025</v>
      </c>
      <c r="N1283" t="str">
        <f>"248030503817"</f>
        <v>248030503817</v>
      </c>
      <c r="O1283" t="str">
        <f>"460004200109101428"</f>
        <v>460004200109101428</v>
      </c>
    </row>
    <row r="1284" customFormat="1" spans="1:15">
      <c r="A1284">
        <v>1807</v>
      </c>
      <c r="B1284" t="s">
        <v>2026</v>
      </c>
      <c r="C1284" t="str">
        <f>"46000419930415102X"</f>
        <v>46000419930415102X</v>
      </c>
      <c r="D1284" t="str">
        <f>"248030503803"</f>
        <v>248030503803</v>
      </c>
      <c r="L1284">
        <v>1807</v>
      </c>
      <c r="M1284" t="s">
        <v>2026</v>
      </c>
      <c r="N1284" t="str">
        <f>"248030503803"</f>
        <v>248030503803</v>
      </c>
      <c r="O1284" t="str">
        <f>"46000419930415102X"</f>
        <v>46000419930415102X</v>
      </c>
    </row>
    <row r="1285" customFormat="1" spans="1:15">
      <c r="A1285">
        <v>1809</v>
      </c>
      <c r="B1285" t="s">
        <v>2027</v>
      </c>
      <c r="C1285" t="str">
        <f>"460001200207110716"</f>
        <v>460001200207110716</v>
      </c>
      <c r="D1285" t="str">
        <f>"248030400302"</f>
        <v>248030400302</v>
      </c>
      <c r="L1285">
        <v>1809</v>
      </c>
      <c r="M1285" t="s">
        <v>2027</v>
      </c>
      <c r="N1285" t="str">
        <f>"248030400302"</f>
        <v>248030400302</v>
      </c>
      <c r="O1285" t="str">
        <f>"460001200207110716"</f>
        <v>460001200207110716</v>
      </c>
    </row>
    <row r="1286" customFormat="1" spans="1:15">
      <c r="A1286">
        <v>1810</v>
      </c>
      <c r="B1286" t="s">
        <v>2028</v>
      </c>
      <c r="C1286" t="str">
        <f>"460003198903057675"</f>
        <v>460003198903057675</v>
      </c>
      <c r="D1286" t="str">
        <f>"248030402003"</f>
        <v>248030402003</v>
      </c>
      <c r="L1286">
        <v>1810</v>
      </c>
      <c r="M1286" t="s">
        <v>2028</v>
      </c>
      <c r="N1286" t="str">
        <f>"248030402003"</f>
        <v>248030402003</v>
      </c>
      <c r="O1286" t="str">
        <f>"460003198903057675"</f>
        <v>460003198903057675</v>
      </c>
    </row>
    <row r="1287" customFormat="1" spans="1:15">
      <c r="A1287">
        <v>1811</v>
      </c>
      <c r="B1287" t="s">
        <v>2029</v>
      </c>
      <c r="C1287" t="str">
        <f>"460003199409212849"</f>
        <v>460003199409212849</v>
      </c>
      <c r="L1287">
        <v>1811</v>
      </c>
      <c r="M1287" t="s">
        <v>2029</v>
      </c>
      <c r="O1287" t="str">
        <f>"460003199409212849"</f>
        <v>460003199409212849</v>
      </c>
    </row>
    <row r="1288" customFormat="1" spans="1:15">
      <c r="A1288">
        <v>1812</v>
      </c>
      <c r="B1288" t="s">
        <v>2030</v>
      </c>
      <c r="C1288" t="str">
        <f>"46000420010619442X"</f>
        <v>46000420010619442X</v>
      </c>
      <c r="D1288" t="str">
        <f>"248030200707"</f>
        <v>248030200707</v>
      </c>
      <c r="L1288">
        <v>1812</v>
      </c>
      <c r="M1288" t="s">
        <v>2030</v>
      </c>
      <c r="N1288" t="str">
        <f>"248030200707"</f>
        <v>248030200707</v>
      </c>
      <c r="O1288" t="str">
        <f>"46000420010619442X"</f>
        <v>46000420010619442X</v>
      </c>
    </row>
    <row r="1289" customFormat="1" spans="1:15">
      <c r="A1289">
        <v>1813</v>
      </c>
      <c r="B1289" t="s">
        <v>396</v>
      </c>
      <c r="C1289" t="str">
        <f>"460108199905262025"</f>
        <v>460108199905262025</v>
      </c>
      <c r="D1289" t="str">
        <f>"248030400208"</f>
        <v>248030400208</v>
      </c>
      <c r="L1289">
        <v>1813</v>
      </c>
      <c r="M1289" t="s">
        <v>396</v>
      </c>
      <c r="N1289" t="str">
        <f>"248030400208"</f>
        <v>248030400208</v>
      </c>
      <c r="O1289" t="str">
        <f>"460108199905262025"</f>
        <v>460108199905262025</v>
      </c>
    </row>
    <row r="1290" customFormat="1" spans="1:15">
      <c r="A1290">
        <v>1814</v>
      </c>
      <c r="B1290" t="s">
        <v>2031</v>
      </c>
      <c r="C1290" t="str">
        <f>"460003200002063840"</f>
        <v>460003200002063840</v>
      </c>
      <c r="L1290">
        <v>1814</v>
      </c>
      <c r="M1290" t="s">
        <v>2031</v>
      </c>
      <c r="O1290" t="str">
        <f>"460003200002063840"</f>
        <v>460003200002063840</v>
      </c>
    </row>
    <row r="1291" customFormat="1" spans="1:15">
      <c r="A1291">
        <v>1815</v>
      </c>
      <c r="B1291" t="s">
        <v>2032</v>
      </c>
      <c r="C1291" t="str">
        <f>"460025200006262714"</f>
        <v>460025200006262714</v>
      </c>
      <c r="D1291" t="str">
        <f>"248030103623"</f>
        <v>248030103623</v>
      </c>
      <c r="L1291">
        <v>1815</v>
      </c>
      <c r="M1291" t="s">
        <v>2032</v>
      </c>
      <c r="N1291" t="str">
        <f>"248030103623"</f>
        <v>248030103623</v>
      </c>
      <c r="O1291" t="str">
        <f>"460025200006262714"</f>
        <v>460025200006262714</v>
      </c>
    </row>
    <row r="1292" customFormat="1" spans="1:15">
      <c r="A1292">
        <v>1816</v>
      </c>
      <c r="B1292" t="s">
        <v>2033</v>
      </c>
      <c r="C1292" t="str">
        <f>"460004198808233649"</f>
        <v>460004198808233649</v>
      </c>
      <c r="L1292">
        <v>1816</v>
      </c>
      <c r="M1292" t="s">
        <v>2033</v>
      </c>
      <c r="O1292" t="str">
        <f>"460004198808233649"</f>
        <v>460004198808233649</v>
      </c>
    </row>
    <row r="1293" customFormat="1" spans="1:15">
      <c r="A1293">
        <v>1817</v>
      </c>
      <c r="B1293" t="s">
        <v>2034</v>
      </c>
      <c r="C1293" t="str">
        <f>"460006199205063414"</f>
        <v>460006199205063414</v>
      </c>
      <c r="D1293" t="str">
        <f>"248030202329"</f>
        <v>248030202329</v>
      </c>
      <c r="L1293">
        <v>1817</v>
      </c>
      <c r="M1293" t="s">
        <v>2034</v>
      </c>
      <c r="N1293" t="str">
        <f>"248030202329"</f>
        <v>248030202329</v>
      </c>
      <c r="O1293" t="str">
        <f>"460006199205063414"</f>
        <v>460006199205063414</v>
      </c>
    </row>
    <row r="1294" customFormat="1" spans="1:15">
      <c r="A1294">
        <v>1818</v>
      </c>
      <c r="B1294" t="s">
        <v>2035</v>
      </c>
      <c r="C1294" t="str">
        <f>"460003200103010211"</f>
        <v>460003200103010211</v>
      </c>
      <c r="D1294" t="str">
        <f>"248030400803"</f>
        <v>248030400803</v>
      </c>
      <c r="L1294">
        <v>1818</v>
      </c>
      <c r="M1294" t="s">
        <v>2035</v>
      </c>
      <c r="N1294" t="str">
        <f>"248030400803"</f>
        <v>248030400803</v>
      </c>
      <c r="O1294" t="str">
        <f>"460003200103010211"</f>
        <v>460003200103010211</v>
      </c>
    </row>
    <row r="1295" customFormat="1" spans="1:15">
      <c r="A1295">
        <v>1819</v>
      </c>
      <c r="B1295" t="s">
        <v>2036</v>
      </c>
      <c r="C1295" t="str">
        <f>"460005199910083529"</f>
        <v>460005199910083529</v>
      </c>
      <c r="D1295" t="str">
        <f>"248030302514"</f>
        <v>248030302514</v>
      </c>
      <c r="L1295">
        <v>1819</v>
      </c>
      <c r="M1295" t="s">
        <v>2036</v>
      </c>
      <c r="N1295" t="str">
        <f>"248030302514"</f>
        <v>248030302514</v>
      </c>
      <c r="O1295" t="str">
        <f>"460005199910083529"</f>
        <v>460005199910083529</v>
      </c>
    </row>
    <row r="1296" customFormat="1" spans="1:15">
      <c r="A1296">
        <v>1820</v>
      </c>
      <c r="B1296" t="s">
        <v>362</v>
      </c>
      <c r="C1296" t="str">
        <f>"460004200110136425"</f>
        <v>460004200110136425</v>
      </c>
      <c r="D1296" t="str">
        <f>"248030502502"</f>
        <v>248030502502</v>
      </c>
      <c r="L1296">
        <v>1820</v>
      </c>
      <c r="M1296" t="s">
        <v>362</v>
      </c>
      <c r="N1296" t="str">
        <f>"248030502502"</f>
        <v>248030502502</v>
      </c>
      <c r="O1296" t="str">
        <f>"460004200110136425"</f>
        <v>460004200110136425</v>
      </c>
    </row>
    <row r="1297" customFormat="1" spans="1:15">
      <c r="A1297">
        <v>1821</v>
      </c>
      <c r="B1297" t="s">
        <v>177</v>
      </c>
      <c r="C1297" t="str">
        <f>"460028199509120826"</f>
        <v>460028199509120826</v>
      </c>
      <c r="D1297" t="str">
        <f>"248030501319"</f>
        <v>248030501319</v>
      </c>
      <c r="L1297">
        <v>1821</v>
      </c>
      <c r="M1297" t="s">
        <v>177</v>
      </c>
      <c r="N1297" t="str">
        <f>"248030501319"</f>
        <v>248030501319</v>
      </c>
      <c r="O1297" t="str">
        <f>"460028199509120826"</f>
        <v>460028199509120826</v>
      </c>
    </row>
    <row r="1298" customFormat="1" spans="1:15">
      <c r="A1298">
        <v>1822</v>
      </c>
      <c r="B1298" t="s">
        <v>2037</v>
      </c>
      <c r="C1298" t="str">
        <f>"440182200103203926"</f>
        <v>440182200103203926</v>
      </c>
      <c r="L1298">
        <v>1822</v>
      </c>
      <c r="M1298" t="s">
        <v>2037</v>
      </c>
      <c r="O1298" t="str">
        <f>"440182200103203926"</f>
        <v>440182200103203926</v>
      </c>
    </row>
    <row r="1299" customFormat="1" spans="1:15">
      <c r="A1299">
        <v>1824</v>
      </c>
      <c r="B1299" t="s">
        <v>2038</v>
      </c>
      <c r="C1299" t="str">
        <f>"211011199610232029"</f>
        <v>211011199610232029</v>
      </c>
      <c r="D1299" t="str">
        <f>"248030402201"</f>
        <v>248030402201</v>
      </c>
      <c r="L1299">
        <v>1824</v>
      </c>
      <c r="M1299" t="s">
        <v>2038</v>
      </c>
      <c r="N1299" t="str">
        <f>"248030402201"</f>
        <v>248030402201</v>
      </c>
      <c r="O1299" t="str">
        <f>"211011199610232029"</f>
        <v>211011199610232029</v>
      </c>
    </row>
    <row r="1300" customFormat="1" spans="1:15">
      <c r="A1300">
        <v>1825</v>
      </c>
      <c r="B1300" t="s">
        <v>55</v>
      </c>
      <c r="C1300" t="str">
        <f>"460025199001110329"</f>
        <v>460025199001110329</v>
      </c>
      <c r="D1300" t="str">
        <f>"248030301716"</f>
        <v>248030301716</v>
      </c>
      <c r="L1300">
        <v>1825</v>
      </c>
      <c r="M1300" t="s">
        <v>55</v>
      </c>
      <c r="N1300" t="str">
        <f>"248030301716"</f>
        <v>248030301716</v>
      </c>
      <c r="O1300" t="str">
        <f>"460025199001110329"</f>
        <v>460025199001110329</v>
      </c>
    </row>
    <row r="1301" customFormat="1" spans="1:15">
      <c r="A1301">
        <v>1826</v>
      </c>
      <c r="B1301" t="s">
        <v>2039</v>
      </c>
      <c r="C1301" t="str">
        <f>"460004199104293023"</f>
        <v>460004199104293023</v>
      </c>
      <c r="L1301">
        <v>1826</v>
      </c>
      <c r="M1301" t="s">
        <v>2039</v>
      </c>
      <c r="O1301" t="str">
        <f>"460004199104293023"</f>
        <v>460004199104293023</v>
      </c>
    </row>
    <row r="1302" customFormat="1" spans="1:15">
      <c r="A1302">
        <v>1827</v>
      </c>
      <c r="B1302" t="s">
        <v>2040</v>
      </c>
      <c r="C1302" t="str">
        <f>"460033199811016289"</f>
        <v>460033199811016289</v>
      </c>
      <c r="D1302" t="str">
        <f>"248030300108"</f>
        <v>248030300108</v>
      </c>
      <c r="L1302">
        <v>1827</v>
      </c>
      <c r="M1302" t="s">
        <v>2040</v>
      </c>
      <c r="N1302" t="str">
        <f>"248030300108"</f>
        <v>248030300108</v>
      </c>
      <c r="O1302" t="str">
        <f>"460033199811016289"</f>
        <v>460033199811016289</v>
      </c>
    </row>
    <row r="1303" customFormat="1" spans="1:15">
      <c r="A1303">
        <v>1828</v>
      </c>
      <c r="B1303" t="s">
        <v>2041</v>
      </c>
      <c r="C1303" t="str">
        <f>"460006200002174064"</f>
        <v>460006200002174064</v>
      </c>
      <c r="L1303">
        <v>1828</v>
      </c>
      <c r="M1303" t="s">
        <v>2041</v>
      </c>
      <c r="O1303" t="str">
        <f>"460006200002174064"</f>
        <v>460006200002174064</v>
      </c>
    </row>
    <row r="1304" customFormat="1" spans="1:15">
      <c r="A1304">
        <v>1829</v>
      </c>
      <c r="B1304" t="s">
        <v>2042</v>
      </c>
      <c r="C1304" t="str">
        <f>"440825200204135521"</f>
        <v>440825200204135521</v>
      </c>
      <c r="D1304" t="str">
        <f>"248030203408"</f>
        <v>248030203408</v>
      </c>
      <c r="L1304">
        <v>1829</v>
      </c>
      <c r="M1304" t="s">
        <v>2042</v>
      </c>
      <c r="N1304" t="str">
        <f>"248030203408"</f>
        <v>248030203408</v>
      </c>
      <c r="O1304" t="str">
        <f>"440825200204135521"</f>
        <v>440825200204135521</v>
      </c>
    </row>
    <row r="1305" customFormat="1" spans="1:15">
      <c r="A1305">
        <v>1830</v>
      </c>
      <c r="B1305" t="s">
        <v>2043</v>
      </c>
      <c r="C1305" t="str">
        <f>"46010419920812094X"</f>
        <v>46010419920812094X</v>
      </c>
      <c r="D1305" t="str">
        <f>"248030100619"</f>
        <v>248030100619</v>
      </c>
      <c r="L1305">
        <v>1830</v>
      </c>
      <c r="M1305" t="s">
        <v>2043</v>
      </c>
      <c r="N1305" t="str">
        <f>"248030100619"</f>
        <v>248030100619</v>
      </c>
      <c r="O1305" t="str">
        <f>"46010419920812094X"</f>
        <v>46010419920812094X</v>
      </c>
    </row>
    <row r="1306" customFormat="1" spans="1:15">
      <c r="A1306">
        <v>1831</v>
      </c>
      <c r="B1306" t="s">
        <v>2044</v>
      </c>
      <c r="C1306" t="str">
        <f>"460033200011184482"</f>
        <v>460033200011184482</v>
      </c>
      <c r="D1306" t="str">
        <f>"248030104728"</f>
        <v>248030104728</v>
      </c>
      <c r="L1306">
        <v>1831</v>
      </c>
      <c r="M1306" t="s">
        <v>2044</v>
      </c>
      <c r="N1306" t="str">
        <f>"248030104728"</f>
        <v>248030104728</v>
      </c>
      <c r="O1306" t="str">
        <f>"460033200011184482"</f>
        <v>460033200011184482</v>
      </c>
    </row>
    <row r="1307" customFormat="1" spans="1:15">
      <c r="A1307">
        <v>1832</v>
      </c>
      <c r="B1307" t="s">
        <v>2045</v>
      </c>
      <c r="C1307" t="str">
        <f>"460006200303103120"</f>
        <v>460006200303103120</v>
      </c>
      <c r="D1307" t="str">
        <f>"248030100403"</f>
        <v>248030100403</v>
      </c>
      <c r="L1307">
        <v>1832</v>
      </c>
      <c r="M1307" t="s">
        <v>2045</v>
      </c>
      <c r="N1307" t="str">
        <f>"248030100403"</f>
        <v>248030100403</v>
      </c>
      <c r="O1307" t="str">
        <f>"460006200303103120"</f>
        <v>460006200303103120</v>
      </c>
    </row>
    <row r="1308" customFormat="1" spans="1:15">
      <c r="A1308">
        <v>1833</v>
      </c>
      <c r="B1308" t="s">
        <v>2046</v>
      </c>
      <c r="C1308" t="str">
        <f>"460033200005283222"</f>
        <v>460033200005283222</v>
      </c>
      <c r="D1308" t="str">
        <f>"248030502829"</f>
        <v>248030502829</v>
      </c>
      <c r="L1308">
        <v>1833</v>
      </c>
      <c r="M1308" t="s">
        <v>2046</v>
      </c>
      <c r="N1308" t="str">
        <f>"248030502829"</f>
        <v>248030502829</v>
      </c>
      <c r="O1308" t="str">
        <f>"460033200005283222"</f>
        <v>460033200005283222</v>
      </c>
    </row>
    <row r="1309" customFormat="1" spans="1:15">
      <c r="A1309">
        <v>1834</v>
      </c>
      <c r="B1309" t="s">
        <v>2047</v>
      </c>
      <c r="C1309" t="str">
        <f>"460033199411297165"</f>
        <v>460033199411297165</v>
      </c>
      <c r="D1309" t="str">
        <f>"248030404106"</f>
        <v>248030404106</v>
      </c>
      <c r="L1309">
        <v>1834</v>
      </c>
      <c r="M1309" t="s">
        <v>2047</v>
      </c>
      <c r="N1309" t="str">
        <f>"248030404106"</f>
        <v>248030404106</v>
      </c>
      <c r="O1309" t="str">
        <f>"460033199411297165"</f>
        <v>460033199411297165</v>
      </c>
    </row>
    <row r="1310" customFormat="1" spans="1:15">
      <c r="A1310">
        <v>1835</v>
      </c>
      <c r="B1310" t="s">
        <v>2048</v>
      </c>
      <c r="C1310" t="str">
        <f>"460033198706154546"</f>
        <v>460033198706154546</v>
      </c>
      <c r="D1310" t="str">
        <f>"248030302802"</f>
        <v>248030302802</v>
      </c>
      <c r="L1310">
        <v>1835</v>
      </c>
      <c r="M1310" t="s">
        <v>2048</v>
      </c>
      <c r="N1310" t="str">
        <f>"248030302802"</f>
        <v>248030302802</v>
      </c>
      <c r="O1310" t="str">
        <f>"460033198706154546"</f>
        <v>460033198706154546</v>
      </c>
    </row>
    <row r="1311" customFormat="1" spans="1:15">
      <c r="A1311">
        <v>1836</v>
      </c>
      <c r="B1311" t="s">
        <v>2049</v>
      </c>
      <c r="C1311" t="str">
        <f>"460027199402104766"</f>
        <v>460027199402104766</v>
      </c>
      <c r="D1311" t="str">
        <f>"248030402312"</f>
        <v>248030402312</v>
      </c>
      <c r="L1311">
        <v>1836</v>
      </c>
      <c r="M1311" t="s">
        <v>2049</v>
      </c>
      <c r="N1311" t="str">
        <f>"248030402312"</f>
        <v>248030402312</v>
      </c>
      <c r="O1311" t="str">
        <f>"460027199402104766"</f>
        <v>460027199402104766</v>
      </c>
    </row>
    <row r="1312" customFormat="1" spans="1:15">
      <c r="A1312">
        <v>1837</v>
      </c>
      <c r="B1312" t="s">
        <v>2050</v>
      </c>
      <c r="C1312" t="str">
        <f>"46010219970904302X"</f>
        <v>46010219970904302X</v>
      </c>
      <c r="D1312" t="str">
        <f>"248030500925"</f>
        <v>248030500925</v>
      </c>
      <c r="L1312">
        <v>1837</v>
      </c>
      <c r="M1312" t="s">
        <v>2050</v>
      </c>
      <c r="N1312" t="str">
        <f>"248030500925"</f>
        <v>248030500925</v>
      </c>
      <c r="O1312" t="str">
        <f>"46010219970904302X"</f>
        <v>46010219970904302X</v>
      </c>
    </row>
    <row r="1313" customFormat="1" spans="1:15">
      <c r="A1313">
        <v>1838</v>
      </c>
      <c r="B1313" t="s">
        <v>2051</v>
      </c>
      <c r="C1313" t="str">
        <f>"460025199505132740"</f>
        <v>460025199505132740</v>
      </c>
      <c r="D1313" t="str">
        <f>"248030403526"</f>
        <v>248030403526</v>
      </c>
      <c r="L1313">
        <v>1838</v>
      </c>
      <c r="M1313" t="s">
        <v>2051</v>
      </c>
      <c r="N1313" t="str">
        <f>"248030403526"</f>
        <v>248030403526</v>
      </c>
      <c r="O1313" t="str">
        <f>"460025199505132740"</f>
        <v>460025199505132740</v>
      </c>
    </row>
    <row r="1314" customFormat="1" spans="1:15">
      <c r="A1314">
        <v>1839</v>
      </c>
      <c r="B1314" t="s">
        <v>2052</v>
      </c>
      <c r="C1314" t="str">
        <f>"65010219960326302X"</f>
        <v>65010219960326302X</v>
      </c>
      <c r="D1314" t="str">
        <f>"248030201119"</f>
        <v>248030201119</v>
      </c>
      <c r="L1314">
        <v>1839</v>
      </c>
      <c r="M1314" t="s">
        <v>2052</v>
      </c>
      <c r="N1314" t="str">
        <f>"248030201119"</f>
        <v>248030201119</v>
      </c>
      <c r="O1314" t="str">
        <f>"65010219960326302X"</f>
        <v>65010219960326302X</v>
      </c>
    </row>
    <row r="1315" customFormat="1" spans="1:15">
      <c r="A1315">
        <v>1840</v>
      </c>
      <c r="B1315" t="s">
        <v>2053</v>
      </c>
      <c r="C1315" t="str">
        <f>"460005200003182529"</f>
        <v>460005200003182529</v>
      </c>
      <c r="D1315" t="str">
        <f>"248030403417"</f>
        <v>248030403417</v>
      </c>
      <c r="L1315">
        <v>1840</v>
      </c>
      <c r="M1315" t="s">
        <v>2053</v>
      </c>
      <c r="N1315" t="str">
        <f>"248030403417"</f>
        <v>248030403417</v>
      </c>
      <c r="O1315" t="str">
        <f>"460005200003182529"</f>
        <v>460005200003182529</v>
      </c>
    </row>
    <row r="1316" customFormat="1" spans="1:15">
      <c r="A1316">
        <v>1841</v>
      </c>
      <c r="B1316" t="s">
        <v>2054</v>
      </c>
      <c r="C1316" t="str">
        <f>"460007199401152269"</f>
        <v>460007199401152269</v>
      </c>
      <c r="L1316">
        <v>1841</v>
      </c>
      <c r="M1316" t="s">
        <v>2054</v>
      </c>
      <c r="O1316" t="str">
        <f>"460007199401152269"</f>
        <v>460007199401152269</v>
      </c>
    </row>
    <row r="1317" customFormat="1" spans="1:15">
      <c r="A1317">
        <v>1842</v>
      </c>
      <c r="B1317" t="s">
        <v>2055</v>
      </c>
      <c r="C1317" t="str">
        <f>"460104199710200929"</f>
        <v>460104199710200929</v>
      </c>
      <c r="D1317" t="str">
        <f>"248030100713"</f>
        <v>248030100713</v>
      </c>
      <c r="L1317">
        <v>1842</v>
      </c>
      <c r="M1317" t="s">
        <v>2055</v>
      </c>
      <c r="N1317" t="str">
        <f>"248030100713"</f>
        <v>248030100713</v>
      </c>
      <c r="O1317" t="str">
        <f>"460104199710200929"</f>
        <v>460104199710200929</v>
      </c>
    </row>
    <row r="1318" customFormat="1" spans="1:15">
      <c r="A1318">
        <v>1843</v>
      </c>
      <c r="B1318" t="s">
        <v>2056</v>
      </c>
      <c r="C1318" t="str">
        <f>"460002200205312513"</f>
        <v>460002200205312513</v>
      </c>
      <c r="D1318" t="str">
        <f>"248030302518"</f>
        <v>248030302518</v>
      </c>
      <c r="L1318">
        <v>1843</v>
      </c>
      <c r="M1318" t="s">
        <v>2056</v>
      </c>
      <c r="N1318" t="str">
        <f>"248030302518"</f>
        <v>248030302518</v>
      </c>
      <c r="O1318" t="str">
        <f>"460002200205312513"</f>
        <v>460002200205312513</v>
      </c>
    </row>
    <row r="1319" customFormat="1" spans="1:15">
      <c r="A1319">
        <v>1844</v>
      </c>
      <c r="B1319" t="s">
        <v>2057</v>
      </c>
      <c r="C1319" t="str">
        <f>"430424200102167928"</f>
        <v>430424200102167928</v>
      </c>
      <c r="D1319" t="str">
        <f>"248030202902"</f>
        <v>248030202902</v>
      </c>
      <c r="L1319">
        <v>1844</v>
      </c>
      <c r="M1319" t="s">
        <v>2057</v>
      </c>
      <c r="N1319" t="str">
        <f>"248030202902"</f>
        <v>248030202902</v>
      </c>
      <c r="O1319" t="str">
        <f>"430424200102167928"</f>
        <v>430424200102167928</v>
      </c>
    </row>
    <row r="1320" customFormat="1" spans="1:15">
      <c r="A1320">
        <v>1846</v>
      </c>
      <c r="B1320" t="s">
        <v>2058</v>
      </c>
      <c r="C1320" t="str">
        <f>"36073119980824002X"</f>
        <v>36073119980824002X</v>
      </c>
      <c r="L1320">
        <v>1846</v>
      </c>
      <c r="M1320" t="s">
        <v>2058</v>
      </c>
      <c r="O1320" t="str">
        <f>"36073119980824002X"</f>
        <v>36073119980824002X</v>
      </c>
    </row>
    <row r="1321" customFormat="1" spans="1:15">
      <c r="A1321">
        <v>1847</v>
      </c>
      <c r="B1321" t="s">
        <v>2059</v>
      </c>
      <c r="C1321" t="str">
        <f>"450405199803051548"</f>
        <v>450405199803051548</v>
      </c>
      <c r="D1321" t="str">
        <f>"248030400716"</f>
        <v>248030400716</v>
      </c>
      <c r="L1321">
        <v>1847</v>
      </c>
      <c r="M1321" t="s">
        <v>2059</v>
      </c>
      <c r="N1321" t="str">
        <f>"248030400716"</f>
        <v>248030400716</v>
      </c>
      <c r="O1321" t="str">
        <f>"450405199803051548"</f>
        <v>450405199803051548</v>
      </c>
    </row>
    <row r="1322" customFormat="1" spans="1:15">
      <c r="A1322">
        <v>1848</v>
      </c>
      <c r="B1322" t="s">
        <v>2060</v>
      </c>
      <c r="C1322" t="str">
        <f>"430481199312180583"</f>
        <v>430481199312180583</v>
      </c>
      <c r="L1322">
        <v>1848</v>
      </c>
      <c r="M1322" t="s">
        <v>2060</v>
      </c>
      <c r="O1322" t="str">
        <f>"430481199312180583"</f>
        <v>430481199312180583</v>
      </c>
    </row>
    <row r="1323" customFormat="1" spans="1:15">
      <c r="A1323">
        <v>1850</v>
      </c>
      <c r="B1323" t="s">
        <v>2061</v>
      </c>
      <c r="C1323" t="str">
        <f>"46000719980610728X"</f>
        <v>46000719980610728X</v>
      </c>
      <c r="D1323" t="str">
        <f>"248030301425"</f>
        <v>248030301425</v>
      </c>
      <c r="L1323">
        <v>1850</v>
      </c>
      <c r="M1323" t="s">
        <v>2061</v>
      </c>
      <c r="N1323" t="str">
        <f>"248030301425"</f>
        <v>248030301425</v>
      </c>
      <c r="O1323" t="str">
        <f>"46000719980610728X"</f>
        <v>46000719980610728X</v>
      </c>
    </row>
    <row r="1324" customFormat="1" spans="1:15">
      <c r="A1324">
        <v>1851</v>
      </c>
      <c r="B1324" t="s">
        <v>2062</v>
      </c>
      <c r="C1324" t="str">
        <f>"460003200004230227"</f>
        <v>460003200004230227</v>
      </c>
      <c r="L1324">
        <v>1851</v>
      </c>
      <c r="M1324" t="s">
        <v>2062</v>
      </c>
      <c r="O1324" t="str">
        <f>"460003200004230227"</f>
        <v>460003200004230227</v>
      </c>
    </row>
    <row r="1325" customFormat="1" spans="1:15">
      <c r="A1325">
        <v>1853</v>
      </c>
      <c r="B1325" t="s">
        <v>2063</v>
      </c>
      <c r="C1325" t="str">
        <f>"612321199804250326"</f>
        <v>612321199804250326</v>
      </c>
      <c r="D1325" t="str">
        <f>"248030503619"</f>
        <v>248030503619</v>
      </c>
      <c r="L1325">
        <v>1853</v>
      </c>
      <c r="M1325" t="s">
        <v>2063</v>
      </c>
      <c r="N1325" t="str">
        <f>"248030503619"</f>
        <v>248030503619</v>
      </c>
      <c r="O1325" t="str">
        <f>"612321199804250326"</f>
        <v>612321199804250326</v>
      </c>
    </row>
    <row r="1326" customFormat="1" spans="1:15">
      <c r="A1326">
        <v>1854</v>
      </c>
      <c r="B1326" t="s">
        <v>747</v>
      </c>
      <c r="C1326" t="str">
        <f>"440582199605026911"</f>
        <v>440582199605026911</v>
      </c>
      <c r="D1326" t="str">
        <f>"248030301127"</f>
        <v>248030301127</v>
      </c>
      <c r="L1326">
        <v>1854</v>
      </c>
      <c r="M1326" t="s">
        <v>747</v>
      </c>
      <c r="N1326" t="str">
        <f>"248030301127"</f>
        <v>248030301127</v>
      </c>
      <c r="O1326" t="str">
        <f>"440582199605026911"</f>
        <v>440582199605026911</v>
      </c>
    </row>
    <row r="1327" customFormat="1" spans="1:15">
      <c r="A1327">
        <v>1855</v>
      </c>
      <c r="B1327" t="s">
        <v>2064</v>
      </c>
      <c r="C1327" t="str">
        <f>"460030200507290319"</f>
        <v>460030200507290319</v>
      </c>
      <c r="D1327" t="str">
        <f>"248030202118"</f>
        <v>248030202118</v>
      </c>
      <c r="L1327">
        <v>1855</v>
      </c>
      <c r="M1327" t="s">
        <v>2064</v>
      </c>
      <c r="N1327" t="str">
        <f>"248030202118"</f>
        <v>248030202118</v>
      </c>
      <c r="O1327" t="str">
        <f>"460030200507290319"</f>
        <v>460030200507290319</v>
      </c>
    </row>
    <row r="1328" customFormat="1" spans="1:15">
      <c r="A1328">
        <v>1856</v>
      </c>
      <c r="B1328" t="s">
        <v>2065</v>
      </c>
      <c r="C1328" t="str">
        <f>"452226200004050010"</f>
        <v>452226200004050010</v>
      </c>
      <c r="D1328" t="str">
        <f>"248030400723"</f>
        <v>248030400723</v>
      </c>
      <c r="L1328">
        <v>1856</v>
      </c>
      <c r="M1328" t="s">
        <v>2065</v>
      </c>
      <c r="N1328" t="str">
        <f>"248030400723"</f>
        <v>248030400723</v>
      </c>
      <c r="O1328" t="str">
        <f>"452226200004050010"</f>
        <v>452226200004050010</v>
      </c>
    </row>
    <row r="1329" customFormat="1" spans="1:15">
      <c r="A1329">
        <v>1857</v>
      </c>
      <c r="B1329" t="s">
        <v>2066</v>
      </c>
      <c r="C1329" t="str">
        <f>"152128199804301827"</f>
        <v>152128199804301827</v>
      </c>
      <c r="D1329" t="str">
        <f>"248030502410"</f>
        <v>248030502410</v>
      </c>
      <c r="L1329">
        <v>1857</v>
      </c>
      <c r="M1329" t="s">
        <v>2066</v>
      </c>
      <c r="N1329" t="str">
        <f>"248030502410"</f>
        <v>248030502410</v>
      </c>
      <c r="O1329" t="str">
        <f>"152128199804301827"</f>
        <v>152128199804301827</v>
      </c>
    </row>
    <row r="1330" customFormat="1" spans="1:15">
      <c r="A1330">
        <v>1858</v>
      </c>
      <c r="B1330" t="s">
        <v>2067</v>
      </c>
      <c r="C1330" t="str">
        <f>"469023200012176228"</f>
        <v>469023200012176228</v>
      </c>
      <c r="D1330" t="str">
        <f>"248030101301"</f>
        <v>248030101301</v>
      </c>
      <c r="L1330">
        <v>1858</v>
      </c>
      <c r="M1330" t="s">
        <v>2067</v>
      </c>
      <c r="N1330" t="str">
        <f>"248030101301"</f>
        <v>248030101301</v>
      </c>
      <c r="O1330" t="str">
        <f>"469023200012176228"</f>
        <v>469023200012176228</v>
      </c>
    </row>
    <row r="1331" customFormat="1" spans="1:15">
      <c r="A1331">
        <v>1860</v>
      </c>
      <c r="B1331" t="s">
        <v>2068</v>
      </c>
      <c r="C1331" t="str">
        <f>"460026200106112429"</f>
        <v>460026200106112429</v>
      </c>
      <c r="D1331" t="str">
        <f>"248030102815"</f>
        <v>248030102815</v>
      </c>
      <c r="L1331">
        <v>1860</v>
      </c>
      <c r="M1331" t="s">
        <v>2068</v>
      </c>
      <c r="N1331" t="str">
        <f>"248030102815"</f>
        <v>248030102815</v>
      </c>
      <c r="O1331" t="str">
        <f>"460026200106112429"</f>
        <v>460026200106112429</v>
      </c>
    </row>
    <row r="1332" customFormat="1" spans="1:15">
      <c r="A1332">
        <v>1861</v>
      </c>
      <c r="B1332" t="s">
        <v>2069</v>
      </c>
      <c r="C1332" t="str">
        <f>"460006200202235220"</f>
        <v>460006200202235220</v>
      </c>
      <c r="D1332" t="str">
        <f>"248030202523"</f>
        <v>248030202523</v>
      </c>
      <c r="L1332">
        <v>1861</v>
      </c>
      <c r="M1332" t="s">
        <v>2069</v>
      </c>
      <c r="N1332" t="str">
        <f>"248030202523"</f>
        <v>248030202523</v>
      </c>
      <c r="O1332" t="str">
        <f>"460006200202235220"</f>
        <v>460006200202235220</v>
      </c>
    </row>
    <row r="1333" customFormat="1" spans="1:15">
      <c r="A1333">
        <v>1862</v>
      </c>
      <c r="B1333" t="s">
        <v>2070</v>
      </c>
      <c r="C1333" t="str">
        <f>"460003199606123220"</f>
        <v>460003199606123220</v>
      </c>
      <c r="D1333" t="str">
        <f>"248030503016"</f>
        <v>248030503016</v>
      </c>
      <c r="L1333">
        <v>1862</v>
      </c>
      <c r="M1333" t="s">
        <v>2070</v>
      </c>
      <c r="N1333" t="str">
        <f>"248030503016"</f>
        <v>248030503016</v>
      </c>
      <c r="O1333" t="str">
        <f>"460003199606123220"</f>
        <v>460003199606123220</v>
      </c>
    </row>
    <row r="1334" customFormat="1" spans="1:15">
      <c r="A1334">
        <v>1863</v>
      </c>
      <c r="B1334" t="s">
        <v>2071</v>
      </c>
      <c r="C1334" t="str">
        <f>"532621199802250724"</f>
        <v>532621199802250724</v>
      </c>
      <c r="D1334" t="str">
        <f>"248030201205"</f>
        <v>248030201205</v>
      </c>
      <c r="L1334">
        <v>1863</v>
      </c>
      <c r="M1334" t="s">
        <v>2071</v>
      </c>
      <c r="N1334" t="str">
        <f>"248030201205"</f>
        <v>248030201205</v>
      </c>
      <c r="O1334" t="str">
        <f>"532621199802250724"</f>
        <v>532621199802250724</v>
      </c>
    </row>
    <row r="1335" customFormat="1" spans="1:15">
      <c r="A1335">
        <v>1865</v>
      </c>
      <c r="B1335" t="s">
        <v>2072</v>
      </c>
      <c r="C1335" t="str">
        <f>"460028199805060813"</f>
        <v>460028199805060813</v>
      </c>
      <c r="D1335" t="str">
        <f>"248030301319"</f>
        <v>248030301319</v>
      </c>
      <c r="L1335">
        <v>1865</v>
      </c>
      <c r="M1335" t="s">
        <v>2072</v>
      </c>
      <c r="N1335" t="str">
        <f>"248030301319"</f>
        <v>248030301319</v>
      </c>
      <c r="O1335" t="str">
        <f>"460028199805060813"</f>
        <v>460028199805060813</v>
      </c>
    </row>
    <row r="1336" customFormat="1" spans="1:15">
      <c r="A1336">
        <v>1866</v>
      </c>
      <c r="B1336" t="s">
        <v>2073</v>
      </c>
      <c r="C1336" t="str">
        <f>"460033199704294785"</f>
        <v>460033199704294785</v>
      </c>
      <c r="D1336" t="str">
        <f>"248030501729"</f>
        <v>248030501729</v>
      </c>
      <c r="L1336">
        <v>1866</v>
      </c>
      <c r="M1336" t="s">
        <v>2073</v>
      </c>
      <c r="N1336" t="str">
        <f>"248030501729"</f>
        <v>248030501729</v>
      </c>
      <c r="O1336" t="str">
        <f>"460033199704294785"</f>
        <v>460033199704294785</v>
      </c>
    </row>
    <row r="1337" customFormat="1" spans="1:15">
      <c r="A1337">
        <v>1867</v>
      </c>
      <c r="B1337" t="s">
        <v>2074</v>
      </c>
      <c r="C1337" t="str">
        <f>"460200199108230308"</f>
        <v>460200199108230308</v>
      </c>
      <c r="D1337" t="str">
        <f>"248030102909"</f>
        <v>248030102909</v>
      </c>
      <c r="L1337">
        <v>1867</v>
      </c>
      <c r="M1337" t="s">
        <v>2074</v>
      </c>
      <c r="N1337" t="str">
        <f>"248030102909"</f>
        <v>248030102909</v>
      </c>
      <c r="O1337" t="str">
        <f>"460200199108230308"</f>
        <v>460200199108230308</v>
      </c>
    </row>
    <row r="1338" customFormat="1" spans="1:15">
      <c r="A1338">
        <v>1869</v>
      </c>
      <c r="B1338" t="s">
        <v>2075</v>
      </c>
      <c r="C1338" t="str">
        <f>"46003019971118602X"</f>
        <v>46003019971118602X</v>
      </c>
      <c r="D1338" t="str">
        <f>"248030401627"</f>
        <v>248030401627</v>
      </c>
      <c r="L1338">
        <v>1869</v>
      </c>
      <c r="M1338" t="s">
        <v>2075</v>
      </c>
      <c r="N1338" t="str">
        <f>"248030401627"</f>
        <v>248030401627</v>
      </c>
      <c r="O1338" t="str">
        <f>"46003019971118602X"</f>
        <v>46003019971118602X</v>
      </c>
    </row>
    <row r="1339" customFormat="1" spans="1:15">
      <c r="A1339">
        <v>1870</v>
      </c>
      <c r="B1339" t="s">
        <v>2076</v>
      </c>
      <c r="C1339" t="str">
        <f>"460007199602255360"</f>
        <v>460007199602255360</v>
      </c>
      <c r="D1339" t="str">
        <f>"248030402612"</f>
        <v>248030402612</v>
      </c>
      <c r="L1339">
        <v>1870</v>
      </c>
      <c r="M1339" t="s">
        <v>2076</v>
      </c>
      <c r="N1339" t="str">
        <f>"248030402612"</f>
        <v>248030402612</v>
      </c>
      <c r="O1339" t="str">
        <f>"460007199602255360"</f>
        <v>460007199602255360</v>
      </c>
    </row>
    <row r="1340" customFormat="1" spans="1:15">
      <c r="A1340">
        <v>1871</v>
      </c>
      <c r="B1340" t="s">
        <v>2077</v>
      </c>
      <c r="C1340" t="str">
        <f>"460028199102102845"</f>
        <v>460028199102102845</v>
      </c>
      <c r="D1340" t="str">
        <f>"248030501213"</f>
        <v>248030501213</v>
      </c>
      <c r="L1340">
        <v>1871</v>
      </c>
      <c r="M1340" t="s">
        <v>2077</v>
      </c>
      <c r="N1340" t="str">
        <f>"248030501213"</f>
        <v>248030501213</v>
      </c>
      <c r="O1340" t="str">
        <f>"460028199102102845"</f>
        <v>460028199102102845</v>
      </c>
    </row>
    <row r="1341" customFormat="1" spans="1:15">
      <c r="A1341">
        <v>1872</v>
      </c>
      <c r="B1341" t="s">
        <v>2078</v>
      </c>
      <c r="C1341" t="str">
        <f>"469026200002026022"</f>
        <v>469026200002026022</v>
      </c>
      <c r="L1341">
        <v>1872</v>
      </c>
      <c r="M1341" t="s">
        <v>2078</v>
      </c>
      <c r="O1341" t="str">
        <f>"469026200002026022"</f>
        <v>469026200002026022</v>
      </c>
    </row>
    <row r="1342" customFormat="1" spans="1:15">
      <c r="A1342">
        <v>1874</v>
      </c>
      <c r="B1342" t="s">
        <v>2079</v>
      </c>
      <c r="C1342" t="str">
        <f>"460103199907072127"</f>
        <v>460103199907072127</v>
      </c>
      <c r="D1342" t="str">
        <f>"248030202005"</f>
        <v>248030202005</v>
      </c>
      <c r="L1342">
        <v>1874</v>
      </c>
      <c r="M1342" t="s">
        <v>2079</v>
      </c>
      <c r="N1342" t="str">
        <f>"248030202005"</f>
        <v>248030202005</v>
      </c>
      <c r="O1342" t="str">
        <f>"460103199907072127"</f>
        <v>460103199907072127</v>
      </c>
    </row>
    <row r="1343" customFormat="1" spans="1:15">
      <c r="A1343">
        <v>1877</v>
      </c>
      <c r="B1343" t="s">
        <v>2080</v>
      </c>
      <c r="C1343" t="str">
        <f>"460034199008123663"</f>
        <v>460034199008123663</v>
      </c>
      <c r="L1343">
        <v>1877</v>
      </c>
      <c r="M1343" t="s">
        <v>2080</v>
      </c>
      <c r="O1343" t="str">
        <f>"460034199008123663"</f>
        <v>460034199008123663</v>
      </c>
    </row>
    <row r="1344" customFormat="1" spans="1:15">
      <c r="A1344">
        <v>1878</v>
      </c>
      <c r="B1344" t="s">
        <v>722</v>
      </c>
      <c r="C1344" t="str">
        <f>"510781199903161153"</f>
        <v>510781199903161153</v>
      </c>
      <c r="D1344" t="str">
        <f>"248030301816"</f>
        <v>248030301816</v>
      </c>
      <c r="L1344">
        <v>1878</v>
      </c>
      <c r="M1344" t="s">
        <v>722</v>
      </c>
      <c r="N1344" t="str">
        <f>"248030301816"</f>
        <v>248030301816</v>
      </c>
      <c r="O1344" t="str">
        <f>"510781199903161153"</f>
        <v>510781199903161153</v>
      </c>
    </row>
    <row r="1345" customFormat="1" spans="1:15">
      <c r="A1345">
        <v>1879</v>
      </c>
      <c r="B1345" t="s">
        <v>2081</v>
      </c>
      <c r="C1345" t="str">
        <f>"460035200002153011"</f>
        <v>460035200002153011</v>
      </c>
      <c r="D1345" t="str">
        <f>"248030201206"</f>
        <v>248030201206</v>
      </c>
      <c r="L1345">
        <v>1879</v>
      </c>
      <c r="M1345" t="s">
        <v>2081</v>
      </c>
      <c r="N1345" t="str">
        <f>"248030201206"</f>
        <v>248030201206</v>
      </c>
      <c r="O1345" t="str">
        <f>"460035200002153011"</f>
        <v>460035200002153011</v>
      </c>
    </row>
    <row r="1346" customFormat="1" spans="1:15">
      <c r="A1346">
        <v>1881</v>
      </c>
      <c r="B1346" t="s">
        <v>2082</v>
      </c>
      <c r="C1346" t="str">
        <f>"46000520000926252X"</f>
        <v>46000520000926252X</v>
      </c>
      <c r="D1346" t="str">
        <f>"248030202705"</f>
        <v>248030202705</v>
      </c>
      <c r="L1346">
        <v>1881</v>
      </c>
      <c r="M1346" t="s">
        <v>2082</v>
      </c>
      <c r="N1346" t="str">
        <f>"248030202705"</f>
        <v>248030202705</v>
      </c>
      <c r="O1346" t="str">
        <f>"46000520000926252X"</f>
        <v>46000520000926252X</v>
      </c>
    </row>
    <row r="1347" customFormat="1" spans="1:15">
      <c r="A1347">
        <v>1883</v>
      </c>
      <c r="B1347" t="s">
        <v>2083</v>
      </c>
      <c r="C1347" t="str">
        <f>"460033199009093244"</f>
        <v>460033199009093244</v>
      </c>
      <c r="D1347" t="str">
        <f>"248030402419"</f>
        <v>248030402419</v>
      </c>
      <c r="L1347">
        <v>1883</v>
      </c>
      <c r="M1347" t="s">
        <v>2083</v>
      </c>
      <c r="N1347" t="str">
        <f>"248030402419"</f>
        <v>248030402419</v>
      </c>
      <c r="O1347" t="str">
        <f>"460033199009093244"</f>
        <v>460033199009093244</v>
      </c>
    </row>
    <row r="1348" customFormat="1" spans="1:15">
      <c r="A1348">
        <v>1885</v>
      </c>
      <c r="B1348" t="s">
        <v>2084</v>
      </c>
      <c r="C1348" t="str">
        <f>"230714198606280242"</f>
        <v>230714198606280242</v>
      </c>
      <c r="D1348" t="str">
        <f>"248030501129"</f>
        <v>248030501129</v>
      </c>
      <c r="L1348">
        <v>1885</v>
      </c>
      <c r="M1348" t="s">
        <v>2084</v>
      </c>
      <c r="N1348" t="str">
        <f>"248030501129"</f>
        <v>248030501129</v>
      </c>
      <c r="O1348" t="str">
        <f>"230714198606280242"</f>
        <v>230714198606280242</v>
      </c>
    </row>
    <row r="1349" customFormat="1" spans="1:15">
      <c r="A1349">
        <v>1886</v>
      </c>
      <c r="B1349" t="s">
        <v>2085</v>
      </c>
      <c r="C1349" t="str">
        <f>"152104199708110624"</f>
        <v>152104199708110624</v>
      </c>
      <c r="D1349" t="str">
        <f>"248030504202"</f>
        <v>248030504202</v>
      </c>
      <c r="L1349">
        <v>1886</v>
      </c>
      <c r="M1349" t="s">
        <v>2085</v>
      </c>
      <c r="N1349" t="str">
        <f>"248030504202"</f>
        <v>248030504202</v>
      </c>
      <c r="O1349" t="str">
        <f>"152104199708110624"</f>
        <v>152104199708110624</v>
      </c>
    </row>
    <row r="1350" customFormat="1" spans="1:15">
      <c r="A1350">
        <v>1887</v>
      </c>
      <c r="B1350" t="s">
        <v>2086</v>
      </c>
      <c r="C1350" t="str">
        <f>"460034199305161826"</f>
        <v>460034199305161826</v>
      </c>
      <c r="D1350" t="str">
        <f>"248030402307"</f>
        <v>248030402307</v>
      </c>
      <c r="L1350">
        <v>1887</v>
      </c>
      <c r="M1350" t="s">
        <v>2086</v>
      </c>
      <c r="N1350" t="str">
        <f>"248030402307"</f>
        <v>248030402307</v>
      </c>
      <c r="O1350" t="str">
        <f>"460034199305161826"</f>
        <v>460034199305161826</v>
      </c>
    </row>
    <row r="1351" customFormat="1" spans="1:15">
      <c r="A1351">
        <v>1889</v>
      </c>
      <c r="B1351" t="s">
        <v>2087</v>
      </c>
      <c r="C1351" t="str">
        <f>"469007200202065000"</f>
        <v>469007200202065000</v>
      </c>
      <c r="D1351" t="str">
        <f>"248030101116"</f>
        <v>248030101116</v>
      </c>
      <c r="L1351">
        <v>1889</v>
      </c>
      <c r="M1351" t="s">
        <v>2087</v>
      </c>
      <c r="N1351" t="str">
        <f>"248030101116"</f>
        <v>248030101116</v>
      </c>
      <c r="O1351" t="str">
        <f>"469007200202065000"</f>
        <v>469007200202065000</v>
      </c>
    </row>
    <row r="1352" customFormat="1" spans="1:15">
      <c r="A1352">
        <v>1890</v>
      </c>
      <c r="B1352" t="s">
        <v>2088</v>
      </c>
      <c r="C1352" t="str">
        <f>"460003199706092708"</f>
        <v>460003199706092708</v>
      </c>
      <c r="L1352">
        <v>1890</v>
      </c>
      <c r="M1352" t="s">
        <v>2088</v>
      </c>
      <c r="O1352" t="str">
        <f>"460003199706092708"</f>
        <v>460003199706092708</v>
      </c>
    </row>
    <row r="1353" customFormat="1" spans="1:15">
      <c r="A1353">
        <v>1892</v>
      </c>
      <c r="B1353" t="s">
        <v>2089</v>
      </c>
      <c r="C1353" t="str">
        <f>"532624199812021326"</f>
        <v>532624199812021326</v>
      </c>
      <c r="L1353">
        <v>1892</v>
      </c>
      <c r="M1353" t="s">
        <v>2089</v>
      </c>
      <c r="O1353" t="str">
        <f>"532624199812021326"</f>
        <v>532624199812021326</v>
      </c>
    </row>
    <row r="1354" customFormat="1" spans="1:15">
      <c r="A1354">
        <v>1893</v>
      </c>
      <c r="B1354" t="s">
        <v>2090</v>
      </c>
      <c r="C1354" t="str">
        <f>"460026199505203322"</f>
        <v>460026199505203322</v>
      </c>
      <c r="D1354" t="str">
        <f>"248030104706"</f>
        <v>248030104706</v>
      </c>
      <c r="L1354">
        <v>1893</v>
      </c>
      <c r="M1354" t="s">
        <v>2090</v>
      </c>
      <c r="N1354" t="str">
        <f>"248030104706"</f>
        <v>248030104706</v>
      </c>
      <c r="O1354" t="str">
        <f>"460026199505203322"</f>
        <v>460026199505203322</v>
      </c>
    </row>
    <row r="1355" customFormat="1" spans="1:15">
      <c r="A1355">
        <v>1894</v>
      </c>
      <c r="B1355" t="s">
        <v>2091</v>
      </c>
      <c r="C1355" t="str">
        <f>"460003199601144866"</f>
        <v>460003199601144866</v>
      </c>
      <c r="D1355" t="str">
        <f>"248030502111"</f>
        <v>248030502111</v>
      </c>
      <c r="L1355">
        <v>1894</v>
      </c>
      <c r="M1355" t="s">
        <v>2091</v>
      </c>
      <c r="N1355" t="str">
        <f>"248030502111"</f>
        <v>248030502111</v>
      </c>
      <c r="O1355" t="str">
        <f>"460003199601144866"</f>
        <v>460003199601144866</v>
      </c>
    </row>
    <row r="1356" customFormat="1" spans="1:15">
      <c r="A1356">
        <v>1895</v>
      </c>
      <c r="B1356" t="s">
        <v>2092</v>
      </c>
      <c r="C1356" t="str">
        <f>"422826199811142589"</f>
        <v>422826199811142589</v>
      </c>
      <c r="L1356">
        <v>1895</v>
      </c>
      <c r="M1356" t="s">
        <v>2092</v>
      </c>
      <c r="O1356" t="str">
        <f>"422826199811142589"</f>
        <v>422826199811142589</v>
      </c>
    </row>
    <row r="1357" customFormat="1" spans="1:15">
      <c r="A1357">
        <v>1896</v>
      </c>
      <c r="B1357" t="s">
        <v>2093</v>
      </c>
      <c r="C1357" t="str">
        <f>"469007199912147259"</f>
        <v>469007199912147259</v>
      </c>
      <c r="D1357" t="str">
        <f>"248030200419"</f>
        <v>248030200419</v>
      </c>
      <c r="L1357">
        <v>1896</v>
      </c>
      <c r="M1357" t="s">
        <v>2093</v>
      </c>
      <c r="N1357" t="str">
        <f>"248030200419"</f>
        <v>248030200419</v>
      </c>
      <c r="O1357" t="str">
        <f>"469007199912147259"</f>
        <v>469007199912147259</v>
      </c>
    </row>
    <row r="1358" customFormat="1" spans="1:15">
      <c r="A1358">
        <v>1897</v>
      </c>
      <c r="B1358" t="s">
        <v>2094</v>
      </c>
      <c r="C1358" t="str">
        <f>"460006199805062327"</f>
        <v>460006199805062327</v>
      </c>
      <c r="D1358" t="str">
        <f>"248030100723"</f>
        <v>248030100723</v>
      </c>
      <c r="L1358">
        <v>1897</v>
      </c>
      <c r="M1358" t="s">
        <v>2094</v>
      </c>
      <c r="N1358" t="str">
        <f>"248030100723"</f>
        <v>248030100723</v>
      </c>
      <c r="O1358" t="str">
        <f>"460006199805062327"</f>
        <v>460006199805062327</v>
      </c>
    </row>
    <row r="1359" customFormat="1" spans="1:15">
      <c r="A1359">
        <v>1898</v>
      </c>
      <c r="B1359" t="s">
        <v>2095</v>
      </c>
      <c r="C1359" t="str">
        <f>"460104200003310323"</f>
        <v>460104200003310323</v>
      </c>
      <c r="D1359" t="str">
        <f>"248030403018"</f>
        <v>248030403018</v>
      </c>
      <c r="L1359">
        <v>1898</v>
      </c>
      <c r="M1359" t="s">
        <v>2095</v>
      </c>
      <c r="N1359" t="str">
        <f>"248030403018"</f>
        <v>248030403018</v>
      </c>
      <c r="O1359" t="str">
        <f>"460104200003310323"</f>
        <v>460104200003310323</v>
      </c>
    </row>
    <row r="1360" customFormat="1" spans="1:15">
      <c r="A1360">
        <v>1899</v>
      </c>
      <c r="B1360" t="s">
        <v>2096</v>
      </c>
      <c r="C1360" t="str">
        <f>"460007199912160826"</f>
        <v>460007199912160826</v>
      </c>
      <c r="D1360" t="str">
        <f>"248030501724"</f>
        <v>248030501724</v>
      </c>
      <c r="L1360">
        <v>1899</v>
      </c>
      <c r="M1360" t="s">
        <v>2096</v>
      </c>
      <c r="N1360" t="str">
        <f>"248030501724"</f>
        <v>248030501724</v>
      </c>
      <c r="O1360" t="str">
        <f>"460007199912160826"</f>
        <v>460007199912160826</v>
      </c>
    </row>
    <row r="1361" customFormat="1" spans="1:15">
      <c r="A1361">
        <v>1900</v>
      </c>
      <c r="B1361" t="s">
        <v>2097</v>
      </c>
      <c r="C1361" t="str">
        <f>"460027199703241748"</f>
        <v>460027199703241748</v>
      </c>
      <c r="D1361" t="str">
        <f>"248030302502"</f>
        <v>248030302502</v>
      </c>
      <c r="L1361">
        <v>1900</v>
      </c>
      <c r="M1361" t="s">
        <v>2097</v>
      </c>
      <c r="N1361" t="str">
        <f>"248030302502"</f>
        <v>248030302502</v>
      </c>
      <c r="O1361" t="str">
        <f>"460027199703241748"</f>
        <v>460027199703241748</v>
      </c>
    </row>
    <row r="1362" customFormat="1" spans="1:15">
      <c r="A1362">
        <v>1902</v>
      </c>
      <c r="B1362" t="s">
        <v>2098</v>
      </c>
      <c r="C1362" t="str">
        <f>"460104200011040925"</f>
        <v>460104200011040925</v>
      </c>
      <c r="D1362" t="str">
        <f>"248030102418"</f>
        <v>248030102418</v>
      </c>
      <c r="L1362">
        <v>1902</v>
      </c>
      <c r="M1362" t="s">
        <v>2098</v>
      </c>
      <c r="N1362" t="str">
        <f>"248030102418"</f>
        <v>248030102418</v>
      </c>
      <c r="O1362" t="str">
        <f>"460104200011040925"</f>
        <v>460104200011040925</v>
      </c>
    </row>
    <row r="1363" customFormat="1" spans="1:15">
      <c r="A1363">
        <v>1903</v>
      </c>
      <c r="B1363" t="s">
        <v>2099</v>
      </c>
      <c r="C1363" t="str">
        <f>"46000320001227342X"</f>
        <v>46000320001227342X</v>
      </c>
      <c r="D1363" t="str">
        <f>"248030500717"</f>
        <v>248030500717</v>
      </c>
      <c r="L1363">
        <v>1903</v>
      </c>
      <c r="M1363" t="s">
        <v>2099</v>
      </c>
      <c r="N1363" t="str">
        <f>"248030500717"</f>
        <v>248030500717</v>
      </c>
      <c r="O1363" t="str">
        <f>"46000320001227342X"</f>
        <v>46000320001227342X</v>
      </c>
    </row>
    <row r="1364" customFormat="1" spans="1:15">
      <c r="A1364">
        <v>1904</v>
      </c>
      <c r="B1364" t="s">
        <v>2100</v>
      </c>
      <c r="C1364" t="str">
        <f>"460103199410012727"</f>
        <v>460103199410012727</v>
      </c>
      <c r="D1364" t="str">
        <f>"248030301728"</f>
        <v>248030301728</v>
      </c>
      <c r="L1364">
        <v>1904</v>
      </c>
      <c r="M1364" t="s">
        <v>2100</v>
      </c>
      <c r="N1364" t="str">
        <f>"248030301728"</f>
        <v>248030301728</v>
      </c>
      <c r="O1364" t="str">
        <f>"460103199410012727"</f>
        <v>460103199410012727</v>
      </c>
    </row>
    <row r="1365" customFormat="1" spans="1:15">
      <c r="A1365">
        <v>1905</v>
      </c>
      <c r="B1365" t="s">
        <v>2101</v>
      </c>
      <c r="C1365" t="str">
        <f>"460200200012235345"</f>
        <v>460200200012235345</v>
      </c>
      <c r="D1365" t="str">
        <f>"248030202722"</f>
        <v>248030202722</v>
      </c>
      <c r="L1365">
        <v>1905</v>
      </c>
      <c r="M1365" t="s">
        <v>2101</v>
      </c>
      <c r="N1365" t="str">
        <f>"248030202722"</f>
        <v>248030202722</v>
      </c>
      <c r="O1365" t="str">
        <f>"460200200012235345"</f>
        <v>460200200012235345</v>
      </c>
    </row>
    <row r="1366" customFormat="1" spans="1:15">
      <c r="A1366">
        <v>1906</v>
      </c>
      <c r="B1366" t="s">
        <v>2102</v>
      </c>
      <c r="C1366" t="str">
        <f>"469007199904114967"</f>
        <v>469007199904114967</v>
      </c>
      <c r="D1366" t="str">
        <f>"248030104008"</f>
        <v>248030104008</v>
      </c>
      <c r="L1366">
        <v>1906</v>
      </c>
      <c r="M1366" t="s">
        <v>2102</v>
      </c>
      <c r="N1366" t="str">
        <f>"248030104008"</f>
        <v>248030104008</v>
      </c>
      <c r="O1366" t="str">
        <f>"469007199904114967"</f>
        <v>469007199904114967</v>
      </c>
    </row>
    <row r="1367" customFormat="1" spans="1:15">
      <c r="A1367">
        <v>1907</v>
      </c>
      <c r="B1367" t="s">
        <v>2103</v>
      </c>
      <c r="C1367" t="str">
        <f>"362424199503164427"</f>
        <v>362424199503164427</v>
      </c>
      <c r="D1367" t="str">
        <f>"248030401117"</f>
        <v>248030401117</v>
      </c>
      <c r="L1367">
        <v>1907</v>
      </c>
      <c r="M1367" t="s">
        <v>2103</v>
      </c>
      <c r="N1367" t="str">
        <f>"248030401117"</f>
        <v>248030401117</v>
      </c>
      <c r="O1367" t="str">
        <f>"362424199503164427"</f>
        <v>362424199503164427</v>
      </c>
    </row>
    <row r="1368" customFormat="1" spans="1:15">
      <c r="A1368">
        <v>1908</v>
      </c>
      <c r="B1368" t="s">
        <v>2104</v>
      </c>
      <c r="C1368" t="str">
        <f>"460003200008032826"</f>
        <v>460003200008032826</v>
      </c>
      <c r="D1368" t="str">
        <f>"248030500530"</f>
        <v>248030500530</v>
      </c>
      <c r="L1368">
        <v>1908</v>
      </c>
      <c r="M1368" t="s">
        <v>2104</v>
      </c>
      <c r="N1368" t="str">
        <f>"248030500530"</f>
        <v>248030500530</v>
      </c>
      <c r="O1368" t="str">
        <f>"460003200008032826"</f>
        <v>460003200008032826</v>
      </c>
    </row>
    <row r="1369" customFormat="1" spans="1:15">
      <c r="A1369">
        <v>1909</v>
      </c>
      <c r="B1369" t="s">
        <v>2105</v>
      </c>
      <c r="C1369" t="str">
        <f>"46000619991212292X"</f>
        <v>46000619991212292X</v>
      </c>
      <c r="D1369" t="str">
        <f>"248030302102"</f>
        <v>248030302102</v>
      </c>
      <c r="L1369">
        <v>1909</v>
      </c>
      <c r="M1369" t="s">
        <v>2105</v>
      </c>
      <c r="N1369" t="str">
        <f>"248030302102"</f>
        <v>248030302102</v>
      </c>
      <c r="O1369" t="str">
        <f>"46000619991212292X"</f>
        <v>46000619991212292X</v>
      </c>
    </row>
    <row r="1370" customFormat="1" spans="1:15">
      <c r="A1370">
        <v>1910</v>
      </c>
      <c r="B1370" t="s">
        <v>2106</v>
      </c>
      <c r="C1370" t="str">
        <f>"460028199310090420"</f>
        <v>460028199310090420</v>
      </c>
      <c r="L1370">
        <v>1910</v>
      </c>
      <c r="M1370" t="s">
        <v>2106</v>
      </c>
      <c r="O1370" t="str">
        <f>"460028199310090420"</f>
        <v>460028199310090420</v>
      </c>
    </row>
    <row r="1371" customFormat="1" spans="1:15">
      <c r="A1371">
        <v>1912</v>
      </c>
      <c r="B1371" t="s">
        <v>2107</v>
      </c>
      <c r="C1371" t="str">
        <f>"460027200202115917"</f>
        <v>460027200202115917</v>
      </c>
      <c r="D1371" t="str">
        <f>"248030201217"</f>
        <v>248030201217</v>
      </c>
      <c r="L1371">
        <v>1912</v>
      </c>
      <c r="M1371" t="s">
        <v>2107</v>
      </c>
      <c r="N1371" t="str">
        <f>"248030201217"</f>
        <v>248030201217</v>
      </c>
      <c r="O1371" t="str">
        <f>"460027200202115917"</f>
        <v>460027200202115917</v>
      </c>
    </row>
    <row r="1372" customFormat="1" spans="1:15">
      <c r="A1372">
        <v>1913</v>
      </c>
      <c r="B1372" t="s">
        <v>2108</v>
      </c>
      <c r="C1372" t="str">
        <f>"460028199501190424"</f>
        <v>460028199501190424</v>
      </c>
      <c r="D1372" t="str">
        <f>"248030502424"</f>
        <v>248030502424</v>
      </c>
      <c r="L1372">
        <v>1913</v>
      </c>
      <c r="M1372" t="s">
        <v>2108</v>
      </c>
      <c r="N1372" t="str">
        <f>"248030502424"</f>
        <v>248030502424</v>
      </c>
      <c r="O1372" t="str">
        <f>"460028199501190424"</f>
        <v>460028199501190424</v>
      </c>
    </row>
    <row r="1373" customFormat="1" spans="1:15">
      <c r="A1373">
        <v>1914</v>
      </c>
      <c r="B1373" t="s">
        <v>2109</v>
      </c>
      <c r="C1373" t="str">
        <f>"530322200101051080"</f>
        <v>530322200101051080</v>
      </c>
      <c r="D1373" t="str">
        <f>"248030103504"</f>
        <v>248030103504</v>
      </c>
      <c r="L1373">
        <v>1914</v>
      </c>
      <c r="M1373" t="s">
        <v>2109</v>
      </c>
      <c r="N1373" t="str">
        <f>"248030103504"</f>
        <v>248030103504</v>
      </c>
      <c r="O1373" t="str">
        <f>"530322200101051080"</f>
        <v>530322200101051080</v>
      </c>
    </row>
    <row r="1374" customFormat="1" spans="1:15">
      <c r="A1374">
        <v>1915</v>
      </c>
      <c r="B1374" t="s">
        <v>2110</v>
      </c>
      <c r="C1374" t="str">
        <f>"460027199703295922"</f>
        <v>460027199703295922</v>
      </c>
      <c r="L1374">
        <v>1915</v>
      </c>
      <c r="M1374" t="s">
        <v>2110</v>
      </c>
      <c r="O1374" t="str">
        <f>"460027199703295922"</f>
        <v>460027199703295922</v>
      </c>
    </row>
    <row r="1375" customFormat="1" spans="1:15">
      <c r="A1375">
        <v>1916</v>
      </c>
      <c r="B1375" t="s">
        <v>2111</v>
      </c>
      <c r="C1375" t="str">
        <f>"460004199205174824"</f>
        <v>460004199205174824</v>
      </c>
      <c r="D1375" t="str">
        <f>"248030502624"</f>
        <v>248030502624</v>
      </c>
      <c r="L1375">
        <v>1916</v>
      </c>
      <c r="M1375" t="s">
        <v>2111</v>
      </c>
      <c r="N1375" t="str">
        <f>"248030502624"</f>
        <v>248030502624</v>
      </c>
      <c r="O1375" t="str">
        <f>"460004199205174824"</f>
        <v>460004199205174824</v>
      </c>
    </row>
    <row r="1376" customFormat="1" spans="1:15">
      <c r="A1376">
        <v>1917</v>
      </c>
      <c r="B1376" t="s">
        <v>2112</v>
      </c>
      <c r="C1376" t="str">
        <f>"460027200006265715"</f>
        <v>460027200006265715</v>
      </c>
      <c r="D1376" t="str">
        <f>"248030202028"</f>
        <v>248030202028</v>
      </c>
      <c r="L1376">
        <v>1917</v>
      </c>
      <c r="M1376" t="s">
        <v>2112</v>
      </c>
      <c r="N1376" t="str">
        <f>"248030202028"</f>
        <v>248030202028</v>
      </c>
      <c r="O1376" t="str">
        <f>"460027200006265715"</f>
        <v>460027200006265715</v>
      </c>
    </row>
    <row r="1377" customFormat="1" spans="1:15">
      <c r="A1377">
        <v>1918</v>
      </c>
      <c r="B1377" t="s">
        <v>2113</v>
      </c>
      <c r="C1377" t="str">
        <f>"460006200206153425"</f>
        <v>460006200206153425</v>
      </c>
      <c r="D1377" t="str">
        <f>"248030101621"</f>
        <v>248030101621</v>
      </c>
      <c r="L1377">
        <v>1918</v>
      </c>
      <c r="M1377" t="s">
        <v>2113</v>
      </c>
      <c r="N1377" t="str">
        <f>"248030101621"</f>
        <v>248030101621</v>
      </c>
      <c r="O1377" t="str">
        <f>"460006200206153425"</f>
        <v>460006200206153425</v>
      </c>
    </row>
    <row r="1378" customFormat="1" spans="1:15">
      <c r="A1378">
        <v>1920</v>
      </c>
      <c r="B1378" t="s">
        <v>2114</v>
      </c>
      <c r="C1378" t="str">
        <f>"460004199707123023"</f>
        <v>460004199707123023</v>
      </c>
      <c r="D1378" t="str">
        <f>"248030102717"</f>
        <v>248030102717</v>
      </c>
      <c r="L1378">
        <v>1920</v>
      </c>
      <c r="M1378" t="s">
        <v>2114</v>
      </c>
      <c r="N1378" t="str">
        <f>"248030102717"</f>
        <v>248030102717</v>
      </c>
      <c r="O1378" t="str">
        <f>"460004199707123023"</f>
        <v>460004199707123023</v>
      </c>
    </row>
    <row r="1379" customFormat="1" spans="1:15">
      <c r="A1379">
        <v>1922</v>
      </c>
      <c r="B1379" t="s">
        <v>2115</v>
      </c>
      <c r="C1379" t="str">
        <f>"460103200007100028"</f>
        <v>460103200007100028</v>
      </c>
      <c r="D1379" t="str">
        <f>"248030503103"</f>
        <v>248030503103</v>
      </c>
      <c r="L1379">
        <v>1922</v>
      </c>
      <c r="M1379" t="s">
        <v>2115</v>
      </c>
      <c r="N1379" t="str">
        <f>"248030503103"</f>
        <v>248030503103</v>
      </c>
      <c r="O1379" t="str">
        <f>"460103200007100028"</f>
        <v>460103200007100028</v>
      </c>
    </row>
    <row r="1380" customFormat="1" spans="1:15">
      <c r="A1380">
        <v>1923</v>
      </c>
      <c r="B1380" t="s">
        <v>1813</v>
      </c>
      <c r="C1380" t="str">
        <f>"469003200107129322"</f>
        <v>469003200107129322</v>
      </c>
      <c r="D1380" t="str">
        <f>"248030201802"</f>
        <v>248030201802</v>
      </c>
      <c r="L1380">
        <v>1923</v>
      </c>
      <c r="M1380" t="s">
        <v>1813</v>
      </c>
      <c r="N1380" t="str">
        <f>"248030201802"</f>
        <v>248030201802</v>
      </c>
      <c r="O1380" t="str">
        <f>"469003200107129322"</f>
        <v>469003200107129322</v>
      </c>
    </row>
    <row r="1381" customFormat="1" spans="1:15">
      <c r="A1381">
        <v>1924</v>
      </c>
      <c r="B1381" t="s">
        <v>2116</v>
      </c>
      <c r="C1381" t="str">
        <f>"460003200010303226"</f>
        <v>460003200010303226</v>
      </c>
      <c r="L1381">
        <v>1924</v>
      </c>
      <c r="M1381" t="s">
        <v>2116</v>
      </c>
      <c r="O1381" t="str">
        <f>"460003200010303226"</f>
        <v>460003200010303226</v>
      </c>
    </row>
    <row r="1382" customFormat="1" spans="1:15">
      <c r="A1382">
        <v>1926</v>
      </c>
      <c r="B1382" t="s">
        <v>605</v>
      </c>
      <c r="C1382" t="str">
        <f>"460102199004240621"</f>
        <v>460102199004240621</v>
      </c>
      <c r="D1382" t="str">
        <f>"248030103705"</f>
        <v>248030103705</v>
      </c>
      <c r="L1382">
        <v>1926</v>
      </c>
      <c r="M1382" t="s">
        <v>605</v>
      </c>
      <c r="N1382" t="str">
        <f>"248030103705"</f>
        <v>248030103705</v>
      </c>
      <c r="O1382" t="str">
        <f>"460102199004240621"</f>
        <v>460102199004240621</v>
      </c>
    </row>
    <row r="1383" customFormat="1" spans="1:15">
      <c r="A1383">
        <v>1927</v>
      </c>
      <c r="B1383" t="s">
        <v>2117</v>
      </c>
      <c r="C1383" t="str">
        <f>"460102199803060926"</f>
        <v>460102199803060926</v>
      </c>
      <c r="D1383" t="str">
        <f>"248030102712"</f>
        <v>248030102712</v>
      </c>
      <c r="L1383">
        <v>1927</v>
      </c>
      <c r="M1383" t="s">
        <v>2117</v>
      </c>
      <c r="N1383" t="str">
        <f>"248030102712"</f>
        <v>248030102712</v>
      </c>
      <c r="O1383" t="str">
        <f>"460102199803060926"</f>
        <v>460102199803060926</v>
      </c>
    </row>
    <row r="1384" customFormat="1" spans="1:15">
      <c r="A1384">
        <v>1928</v>
      </c>
      <c r="B1384" t="s">
        <v>2118</v>
      </c>
      <c r="C1384" t="str">
        <f>"460003199506142619"</f>
        <v>460003199506142619</v>
      </c>
      <c r="D1384" t="str">
        <f>"248030402209"</f>
        <v>248030402209</v>
      </c>
      <c r="L1384">
        <v>1928</v>
      </c>
      <c r="M1384" t="s">
        <v>2118</v>
      </c>
      <c r="N1384" t="str">
        <f>"248030402209"</f>
        <v>248030402209</v>
      </c>
      <c r="O1384" t="str">
        <f>"460003199506142619"</f>
        <v>460003199506142619</v>
      </c>
    </row>
    <row r="1385" customFormat="1" spans="1:15">
      <c r="A1385">
        <v>1929</v>
      </c>
      <c r="B1385" t="s">
        <v>2119</v>
      </c>
      <c r="C1385" t="str">
        <f>"140223199210271544"</f>
        <v>140223199210271544</v>
      </c>
      <c r="D1385" t="str">
        <f>"248030200108"</f>
        <v>248030200108</v>
      </c>
      <c r="L1385">
        <v>1929</v>
      </c>
      <c r="M1385" t="s">
        <v>2119</v>
      </c>
      <c r="N1385" t="str">
        <f>"248030200108"</f>
        <v>248030200108</v>
      </c>
      <c r="O1385" t="str">
        <f>"140223199210271544"</f>
        <v>140223199210271544</v>
      </c>
    </row>
    <row r="1386" customFormat="1" spans="1:15">
      <c r="A1386">
        <v>1930</v>
      </c>
      <c r="B1386" t="s">
        <v>2120</v>
      </c>
      <c r="C1386" t="str">
        <f>"460027199609012965"</f>
        <v>460027199609012965</v>
      </c>
      <c r="L1386">
        <v>1930</v>
      </c>
      <c r="M1386" t="s">
        <v>2120</v>
      </c>
      <c r="O1386" t="str">
        <f>"460027199609012965"</f>
        <v>460027199609012965</v>
      </c>
    </row>
    <row r="1387" customFormat="1" spans="1:15">
      <c r="A1387">
        <v>1931</v>
      </c>
      <c r="B1387" t="s">
        <v>2121</v>
      </c>
      <c r="C1387" t="str">
        <f>"460034199410123610"</f>
        <v>460034199410123610</v>
      </c>
      <c r="D1387" t="str">
        <f>"248030201106"</f>
        <v>248030201106</v>
      </c>
      <c r="L1387">
        <v>1931</v>
      </c>
      <c r="M1387" t="s">
        <v>2121</v>
      </c>
      <c r="N1387" t="str">
        <f>"248030201106"</f>
        <v>248030201106</v>
      </c>
      <c r="O1387" t="str">
        <f>"460034199410123610"</f>
        <v>460034199410123610</v>
      </c>
    </row>
    <row r="1388" customFormat="1" spans="1:15">
      <c r="A1388">
        <v>1932</v>
      </c>
      <c r="B1388" t="s">
        <v>2122</v>
      </c>
      <c r="C1388" t="str">
        <f>"460103199910170027"</f>
        <v>460103199910170027</v>
      </c>
      <c r="L1388">
        <v>1932</v>
      </c>
      <c r="M1388" t="s">
        <v>2122</v>
      </c>
      <c r="O1388" t="str">
        <f>"460103199910170027"</f>
        <v>460103199910170027</v>
      </c>
    </row>
    <row r="1389" customFormat="1" spans="1:15">
      <c r="A1389">
        <v>1933</v>
      </c>
      <c r="B1389" t="s">
        <v>2123</v>
      </c>
      <c r="C1389" t="str">
        <f>"321322199501040221"</f>
        <v>321322199501040221</v>
      </c>
      <c r="L1389">
        <v>1933</v>
      </c>
      <c r="M1389" t="s">
        <v>2123</v>
      </c>
      <c r="O1389" t="str">
        <f>"321322199501040221"</f>
        <v>321322199501040221</v>
      </c>
    </row>
    <row r="1390" customFormat="1" spans="1:15">
      <c r="A1390">
        <v>1934</v>
      </c>
      <c r="B1390" t="s">
        <v>2124</v>
      </c>
      <c r="C1390" t="str">
        <f>"460031200011090029"</f>
        <v>460031200011090029</v>
      </c>
      <c r="D1390" t="str">
        <f>"248030201521"</f>
        <v>248030201521</v>
      </c>
      <c r="L1390">
        <v>1934</v>
      </c>
      <c r="M1390" t="s">
        <v>2124</v>
      </c>
      <c r="N1390" t="str">
        <f>"248030201521"</f>
        <v>248030201521</v>
      </c>
      <c r="O1390" t="str">
        <f>"460031200011090029"</f>
        <v>460031200011090029</v>
      </c>
    </row>
    <row r="1391" customFormat="1" spans="1:15">
      <c r="A1391">
        <v>1935</v>
      </c>
      <c r="B1391" t="s">
        <v>234</v>
      </c>
      <c r="C1391" t="str">
        <f>"220702198702040823"</f>
        <v>220702198702040823</v>
      </c>
      <c r="D1391" t="str">
        <f>"248030102208"</f>
        <v>248030102208</v>
      </c>
      <c r="L1391">
        <v>1935</v>
      </c>
      <c r="M1391" t="s">
        <v>234</v>
      </c>
      <c r="N1391" t="str">
        <f>"248030102208"</f>
        <v>248030102208</v>
      </c>
      <c r="O1391" t="str">
        <f>"220702198702040823"</f>
        <v>220702198702040823</v>
      </c>
    </row>
    <row r="1392" customFormat="1" spans="1:15">
      <c r="A1392">
        <v>1936</v>
      </c>
      <c r="B1392" t="s">
        <v>2125</v>
      </c>
      <c r="C1392" t="str">
        <f>"460027199511096611"</f>
        <v>460027199511096611</v>
      </c>
      <c r="D1392" t="str">
        <f>"248030402024"</f>
        <v>248030402024</v>
      </c>
      <c r="L1392">
        <v>1936</v>
      </c>
      <c r="M1392" t="s">
        <v>2125</v>
      </c>
      <c r="N1392" t="str">
        <f>"248030402024"</f>
        <v>248030402024</v>
      </c>
      <c r="O1392" t="str">
        <f>"460027199511096611"</f>
        <v>460027199511096611</v>
      </c>
    </row>
    <row r="1393" customFormat="1" spans="1:15">
      <c r="A1393">
        <v>1937</v>
      </c>
      <c r="B1393" t="s">
        <v>2126</v>
      </c>
      <c r="C1393" t="str">
        <f>"460006199909252328"</f>
        <v>460006199909252328</v>
      </c>
      <c r="D1393" t="str">
        <f>"248030401912"</f>
        <v>248030401912</v>
      </c>
      <c r="L1393">
        <v>1937</v>
      </c>
      <c r="M1393" t="s">
        <v>2126</v>
      </c>
      <c r="N1393" t="str">
        <f>"248030401912"</f>
        <v>248030401912</v>
      </c>
      <c r="O1393" t="str">
        <f>"460006199909252328"</f>
        <v>460006199909252328</v>
      </c>
    </row>
    <row r="1394" customFormat="1" spans="1:15">
      <c r="A1394">
        <v>1938</v>
      </c>
      <c r="B1394" t="s">
        <v>2127</v>
      </c>
      <c r="C1394" t="str">
        <f>"460027199808014146"</f>
        <v>460027199808014146</v>
      </c>
      <c r="D1394" t="str">
        <f>"248030100715"</f>
        <v>248030100715</v>
      </c>
      <c r="L1394">
        <v>1938</v>
      </c>
      <c r="M1394" t="s">
        <v>2127</v>
      </c>
      <c r="N1394" t="str">
        <f>"248030100715"</f>
        <v>248030100715</v>
      </c>
      <c r="O1394" t="str">
        <f>"460027199808014146"</f>
        <v>460027199808014146</v>
      </c>
    </row>
    <row r="1395" customFormat="1" spans="1:15">
      <c r="A1395">
        <v>1939</v>
      </c>
      <c r="B1395" t="s">
        <v>2128</v>
      </c>
      <c r="C1395" t="str">
        <f>"460027200001037924"</f>
        <v>460027200001037924</v>
      </c>
      <c r="D1395" t="str">
        <f>"248030504004"</f>
        <v>248030504004</v>
      </c>
      <c r="L1395">
        <v>1939</v>
      </c>
      <c r="M1395" t="s">
        <v>2128</v>
      </c>
      <c r="N1395" t="str">
        <f>"248030504004"</f>
        <v>248030504004</v>
      </c>
      <c r="O1395" t="str">
        <f>"460027200001037924"</f>
        <v>460027200001037924</v>
      </c>
    </row>
    <row r="1396" customFormat="1" spans="1:15">
      <c r="A1396">
        <v>1940</v>
      </c>
      <c r="B1396" t="s">
        <v>2129</v>
      </c>
      <c r="C1396" t="str">
        <f>"612323198601121928"</f>
        <v>612323198601121928</v>
      </c>
      <c r="D1396" t="str">
        <f>"248030301905"</f>
        <v>248030301905</v>
      </c>
      <c r="L1396">
        <v>1940</v>
      </c>
      <c r="M1396" t="s">
        <v>2129</v>
      </c>
      <c r="N1396" t="str">
        <f>"248030301905"</f>
        <v>248030301905</v>
      </c>
      <c r="O1396" t="str">
        <f>"612323198601121928"</f>
        <v>612323198601121928</v>
      </c>
    </row>
    <row r="1397" customFormat="1" spans="1:15">
      <c r="A1397">
        <v>1942</v>
      </c>
      <c r="B1397" t="s">
        <v>2130</v>
      </c>
      <c r="C1397" t="str">
        <f>"450821199804305820"</f>
        <v>450821199804305820</v>
      </c>
      <c r="D1397" t="str">
        <f>"248030400126"</f>
        <v>248030400126</v>
      </c>
      <c r="L1397">
        <v>1942</v>
      </c>
      <c r="M1397" t="s">
        <v>2130</v>
      </c>
      <c r="N1397" t="str">
        <f>"248030400126"</f>
        <v>248030400126</v>
      </c>
      <c r="O1397" t="str">
        <f>"450821199804305820"</f>
        <v>450821199804305820</v>
      </c>
    </row>
    <row r="1398" customFormat="1" spans="1:15">
      <c r="A1398">
        <v>1943</v>
      </c>
      <c r="B1398" t="s">
        <v>2131</v>
      </c>
      <c r="C1398" t="str">
        <f>"460026199805030929"</f>
        <v>460026199805030929</v>
      </c>
      <c r="D1398" t="str">
        <f>"248030500703"</f>
        <v>248030500703</v>
      </c>
      <c r="L1398">
        <v>1943</v>
      </c>
      <c r="M1398" t="s">
        <v>2131</v>
      </c>
      <c r="N1398" t="str">
        <f>"248030500703"</f>
        <v>248030500703</v>
      </c>
      <c r="O1398" t="str">
        <f>"460026199805030929"</f>
        <v>460026199805030929</v>
      </c>
    </row>
    <row r="1399" customFormat="1" spans="1:15">
      <c r="A1399">
        <v>1944</v>
      </c>
      <c r="B1399" t="s">
        <v>2132</v>
      </c>
      <c r="C1399" t="str">
        <f>"460030199407200923"</f>
        <v>460030199407200923</v>
      </c>
      <c r="D1399" t="str">
        <f>"248030103530"</f>
        <v>248030103530</v>
      </c>
      <c r="L1399">
        <v>1944</v>
      </c>
      <c r="M1399" t="s">
        <v>2132</v>
      </c>
      <c r="N1399" t="str">
        <f>"248030103530"</f>
        <v>248030103530</v>
      </c>
      <c r="O1399" t="str">
        <f>"460030199407200923"</f>
        <v>460030199407200923</v>
      </c>
    </row>
    <row r="1400" customFormat="1" spans="1:15">
      <c r="A1400">
        <v>1945</v>
      </c>
      <c r="B1400" t="s">
        <v>2133</v>
      </c>
      <c r="C1400" t="str">
        <f>"460003200104107680"</f>
        <v>460003200104107680</v>
      </c>
      <c r="D1400" t="str">
        <f>"248030503721"</f>
        <v>248030503721</v>
      </c>
      <c r="L1400">
        <v>1945</v>
      </c>
      <c r="M1400" t="s">
        <v>2133</v>
      </c>
      <c r="N1400" t="str">
        <f>"248030503721"</f>
        <v>248030503721</v>
      </c>
      <c r="O1400" t="str">
        <f>"460003200104107680"</f>
        <v>460003200104107680</v>
      </c>
    </row>
    <row r="1401" customFormat="1" spans="1:15">
      <c r="A1401">
        <v>1947</v>
      </c>
      <c r="B1401" t="s">
        <v>219</v>
      </c>
      <c r="C1401" t="str">
        <f>"460027199801153784"</f>
        <v>460027199801153784</v>
      </c>
      <c r="D1401" t="str">
        <f>"248030403723"</f>
        <v>248030403723</v>
      </c>
      <c r="L1401">
        <v>1947</v>
      </c>
      <c r="M1401" t="s">
        <v>219</v>
      </c>
      <c r="N1401" t="str">
        <f>"248030403723"</f>
        <v>248030403723</v>
      </c>
      <c r="O1401" t="str">
        <f>"460027199801153784"</f>
        <v>460027199801153784</v>
      </c>
    </row>
    <row r="1402" customFormat="1" spans="1:15">
      <c r="A1402">
        <v>1948</v>
      </c>
      <c r="B1402" t="s">
        <v>2134</v>
      </c>
      <c r="C1402" t="str">
        <f>"469028200110161224"</f>
        <v>469028200110161224</v>
      </c>
      <c r="D1402" t="str">
        <f>"248030504115"</f>
        <v>248030504115</v>
      </c>
      <c r="L1402">
        <v>1948</v>
      </c>
      <c r="M1402" t="s">
        <v>2134</v>
      </c>
      <c r="N1402" t="str">
        <f>"248030504115"</f>
        <v>248030504115</v>
      </c>
      <c r="O1402" t="str">
        <f>"469028200110161224"</f>
        <v>469028200110161224</v>
      </c>
    </row>
    <row r="1403" customFormat="1" spans="1:15">
      <c r="A1403">
        <v>1949</v>
      </c>
      <c r="B1403" t="s">
        <v>2135</v>
      </c>
      <c r="C1403" t="str">
        <f>"460103200202110926"</f>
        <v>460103200202110926</v>
      </c>
      <c r="D1403" t="str">
        <f>"248030101217"</f>
        <v>248030101217</v>
      </c>
      <c r="L1403">
        <v>1949</v>
      </c>
      <c r="M1403" t="s">
        <v>2135</v>
      </c>
      <c r="N1403" t="str">
        <f>"248030101217"</f>
        <v>248030101217</v>
      </c>
      <c r="O1403" t="str">
        <f>"460103200202110926"</f>
        <v>460103200202110926</v>
      </c>
    </row>
    <row r="1404" customFormat="1" spans="1:15">
      <c r="A1404">
        <v>1950</v>
      </c>
      <c r="B1404" t="s">
        <v>2136</v>
      </c>
      <c r="C1404" t="str">
        <f>"460103200102233320"</f>
        <v>460103200102233320</v>
      </c>
      <c r="D1404" t="str">
        <f>"248030503711"</f>
        <v>248030503711</v>
      </c>
      <c r="L1404">
        <v>1950</v>
      </c>
      <c r="M1404" t="s">
        <v>2136</v>
      </c>
      <c r="N1404" t="str">
        <f>"248030503711"</f>
        <v>248030503711</v>
      </c>
      <c r="O1404" t="str">
        <f>"460103200102233320"</f>
        <v>460103200102233320</v>
      </c>
    </row>
    <row r="1405" customFormat="1" spans="1:15">
      <c r="A1405">
        <v>1952</v>
      </c>
      <c r="B1405" t="s">
        <v>86</v>
      </c>
      <c r="C1405" t="str">
        <f>"460006200106070227"</f>
        <v>460006200106070227</v>
      </c>
      <c r="D1405" t="str">
        <f>"248030501713"</f>
        <v>248030501713</v>
      </c>
      <c r="L1405">
        <v>1952</v>
      </c>
      <c r="M1405" t="s">
        <v>86</v>
      </c>
      <c r="N1405" t="str">
        <f>"248030501713"</f>
        <v>248030501713</v>
      </c>
      <c r="O1405" t="str">
        <f>"460006200106070227"</f>
        <v>460006200106070227</v>
      </c>
    </row>
    <row r="1406" customFormat="1" spans="1:15">
      <c r="A1406">
        <v>1954</v>
      </c>
      <c r="B1406" t="s">
        <v>2137</v>
      </c>
      <c r="C1406" t="str">
        <f>"469003200004275028"</f>
        <v>469003200004275028</v>
      </c>
      <c r="D1406" t="str">
        <f>"248030103017"</f>
        <v>248030103017</v>
      </c>
      <c r="L1406">
        <v>1954</v>
      </c>
      <c r="M1406" t="s">
        <v>2137</v>
      </c>
      <c r="N1406" t="str">
        <f>"248030103017"</f>
        <v>248030103017</v>
      </c>
      <c r="O1406" t="str">
        <f>"469003200004275028"</f>
        <v>469003200004275028</v>
      </c>
    </row>
    <row r="1407" customFormat="1" spans="1:15">
      <c r="A1407">
        <v>1955</v>
      </c>
      <c r="B1407" t="s">
        <v>2138</v>
      </c>
      <c r="C1407" t="str">
        <f>"460006200112304827"</f>
        <v>460006200112304827</v>
      </c>
      <c r="D1407" t="str">
        <f>"248030202529"</f>
        <v>248030202529</v>
      </c>
      <c r="L1407">
        <v>1955</v>
      </c>
      <c r="M1407" t="s">
        <v>2138</v>
      </c>
      <c r="N1407" t="str">
        <f>"248030202529"</f>
        <v>248030202529</v>
      </c>
      <c r="O1407" t="str">
        <f>"460006200112304827"</f>
        <v>460006200112304827</v>
      </c>
    </row>
    <row r="1408" customFormat="1" spans="1:15">
      <c r="A1408">
        <v>1956</v>
      </c>
      <c r="B1408" t="s">
        <v>2139</v>
      </c>
      <c r="C1408" t="str">
        <f>"460003200005084647"</f>
        <v>460003200005084647</v>
      </c>
      <c r="D1408" t="str">
        <f>"248030503413"</f>
        <v>248030503413</v>
      </c>
      <c r="L1408">
        <v>1956</v>
      </c>
      <c r="M1408" t="s">
        <v>2139</v>
      </c>
      <c r="N1408" t="str">
        <f>"248030503413"</f>
        <v>248030503413</v>
      </c>
      <c r="O1408" t="str">
        <f>"460003200005084647"</f>
        <v>460003200005084647</v>
      </c>
    </row>
    <row r="1409" customFormat="1" spans="1:15">
      <c r="A1409">
        <v>1957</v>
      </c>
      <c r="B1409" t="s">
        <v>2140</v>
      </c>
      <c r="C1409" t="str">
        <f>"342401199410297492"</f>
        <v>342401199410297492</v>
      </c>
      <c r="D1409" t="str">
        <f>"248030502305"</f>
        <v>248030502305</v>
      </c>
      <c r="L1409">
        <v>1957</v>
      </c>
      <c r="M1409" t="s">
        <v>2140</v>
      </c>
      <c r="N1409" t="str">
        <f>"248030502305"</f>
        <v>248030502305</v>
      </c>
      <c r="O1409" t="str">
        <f>"342401199410297492"</f>
        <v>342401199410297492</v>
      </c>
    </row>
    <row r="1410" customFormat="1" spans="1:15">
      <c r="A1410">
        <v>1958</v>
      </c>
      <c r="B1410" t="s">
        <v>2141</v>
      </c>
      <c r="C1410" t="str">
        <f>"460102200203230624"</f>
        <v>460102200203230624</v>
      </c>
      <c r="L1410">
        <v>1958</v>
      </c>
      <c r="M1410" t="s">
        <v>2141</v>
      </c>
      <c r="O1410" t="str">
        <f>"460102200203230624"</f>
        <v>460102200203230624</v>
      </c>
    </row>
    <row r="1411" customFormat="1" spans="1:15">
      <c r="A1411">
        <v>1959</v>
      </c>
      <c r="B1411" t="s">
        <v>2142</v>
      </c>
      <c r="C1411" t="str">
        <f>"469024200206261240"</f>
        <v>469024200206261240</v>
      </c>
      <c r="D1411" t="str">
        <f>"248030100117"</f>
        <v>248030100117</v>
      </c>
      <c r="L1411">
        <v>1959</v>
      </c>
      <c r="M1411" t="s">
        <v>2142</v>
      </c>
      <c r="N1411" t="str">
        <f>"248030100117"</f>
        <v>248030100117</v>
      </c>
      <c r="O1411" t="str">
        <f>"469024200206261240"</f>
        <v>469024200206261240</v>
      </c>
    </row>
    <row r="1412" customFormat="1" spans="1:15">
      <c r="A1412">
        <v>1960</v>
      </c>
      <c r="B1412" t="s">
        <v>2143</v>
      </c>
      <c r="C1412" t="str">
        <f>"220282199606172016"</f>
        <v>220282199606172016</v>
      </c>
      <c r="D1412" t="str">
        <f>"248030301911"</f>
        <v>248030301911</v>
      </c>
      <c r="L1412">
        <v>1960</v>
      </c>
      <c r="M1412" t="s">
        <v>2143</v>
      </c>
      <c r="N1412" t="str">
        <f>"248030301911"</f>
        <v>248030301911</v>
      </c>
      <c r="O1412" t="str">
        <f>"220282199606172016"</f>
        <v>220282199606172016</v>
      </c>
    </row>
    <row r="1413" customFormat="1" spans="1:15">
      <c r="A1413">
        <v>1961</v>
      </c>
      <c r="B1413" t="s">
        <v>2144</v>
      </c>
      <c r="C1413" t="str">
        <f>"46010219930817124X"</f>
        <v>46010219930817124X</v>
      </c>
      <c r="D1413" t="str">
        <f>"248030102306"</f>
        <v>248030102306</v>
      </c>
      <c r="L1413">
        <v>1961</v>
      </c>
      <c r="M1413" t="s">
        <v>2144</v>
      </c>
      <c r="N1413" t="str">
        <f>"248030102306"</f>
        <v>248030102306</v>
      </c>
      <c r="O1413" t="str">
        <f>"46010219930817124X"</f>
        <v>46010219930817124X</v>
      </c>
    </row>
    <row r="1414" customFormat="1" spans="1:15">
      <c r="A1414">
        <v>1962</v>
      </c>
      <c r="B1414" t="s">
        <v>2145</v>
      </c>
      <c r="C1414" t="str">
        <f>"460103199312060020"</f>
        <v>460103199312060020</v>
      </c>
      <c r="D1414" t="str">
        <f>"248030402104"</f>
        <v>248030402104</v>
      </c>
      <c r="L1414">
        <v>1962</v>
      </c>
      <c r="M1414" t="s">
        <v>2145</v>
      </c>
      <c r="N1414" t="str">
        <f>"248030402104"</f>
        <v>248030402104</v>
      </c>
      <c r="O1414" t="str">
        <f>"460103199312060020"</f>
        <v>460103199312060020</v>
      </c>
    </row>
    <row r="1415" customFormat="1" spans="1:15">
      <c r="A1415">
        <v>1964</v>
      </c>
      <c r="B1415" t="s">
        <v>53</v>
      </c>
      <c r="C1415" t="str">
        <f>"420684198406023021"</f>
        <v>420684198406023021</v>
      </c>
      <c r="D1415" t="str">
        <f>"248030301625"</f>
        <v>248030301625</v>
      </c>
      <c r="L1415">
        <v>1964</v>
      </c>
      <c r="M1415" t="s">
        <v>53</v>
      </c>
      <c r="N1415" t="str">
        <f>"248030301625"</f>
        <v>248030301625</v>
      </c>
      <c r="O1415" t="str">
        <f>"420684198406023021"</f>
        <v>420684198406023021</v>
      </c>
    </row>
    <row r="1416" customFormat="1" spans="1:15">
      <c r="A1416">
        <v>1965</v>
      </c>
      <c r="B1416" t="s">
        <v>2146</v>
      </c>
      <c r="C1416" t="str">
        <f>"460007200009305369"</f>
        <v>460007200009305369</v>
      </c>
      <c r="L1416">
        <v>1965</v>
      </c>
      <c r="M1416" t="s">
        <v>2146</v>
      </c>
      <c r="O1416" t="str">
        <f>"460007200009305369"</f>
        <v>460007200009305369</v>
      </c>
    </row>
    <row r="1417" customFormat="1" spans="1:15">
      <c r="A1417">
        <v>1967</v>
      </c>
      <c r="B1417" t="s">
        <v>2147</v>
      </c>
      <c r="C1417" t="str">
        <f>"469003199811287046"</f>
        <v>469003199811287046</v>
      </c>
      <c r="D1417" t="str">
        <f>"248030203319"</f>
        <v>248030203319</v>
      </c>
      <c r="L1417">
        <v>1967</v>
      </c>
      <c r="M1417" t="s">
        <v>2147</v>
      </c>
      <c r="N1417" t="str">
        <f>"248030203319"</f>
        <v>248030203319</v>
      </c>
      <c r="O1417" t="str">
        <f>"469003199811287046"</f>
        <v>469003199811287046</v>
      </c>
    </row>
    <row r="1418" customFormat="1" spans="1:15">
      <c r="A1418">
        <v>1969</v>
      </c>
      <c r="B1418" t="s">
        <v>2148</v>
      </c>
      <c r="C1418" t="str">
        <f>"41048219950512592X"</f>
        <v>41048219950512592X</v>
      </c>
      <c r="D1418" t="str">
        <f>"248030102102"</f>
        <v>248030102102</v>
      </c>
      <c r="L1418">
        <v>1969</v>
      </c>
      <c r="M1418" t="s">
        <v>2148</v>
      </c>
      <c r="N1418" t="str">
        <f>"248030102102"</f>
        <v>248030102102</v>
      </c>
      <c r="O1418" t="str">
        <f>"41048219950512592X"</f>
        <v>41048219950512592X</v>
      </c>
    </row>
    <row r="1419" customFormat="1" spans="1:15">
      <c r="A1419">
        <v>1970</v>
      </c>
      <c r="B1419" t="s">
        <v>435</v>
      </c>
      <c r="C1419" t="str">
        <f>"460007199011077224"</f>
        <v>460007199011077224</v>
      </c>
      <c r="D1419" t="str">
        <f>"248030502227"</f>
        <v>248030502227</v>
      </c>
      <c r="L1419">
        <v>1970</v>
      </c>
      <c r="M1419" t="s">
        <v>435</v>
      </c>
      <c r="N1419" t="str">
        <f>"248030502227"</f>
        <v>248030502227</v>
      </c>
      <c r="O1419" t="str">
        <f>"460007199011077224"</f>
        <v>460007199011077224</v>
      </c>
    </row>
    <row r="1420" customFormat="1" spans="1:15">
      <c r="A1420">
        <v>1971</v>
      </c>
      <c r="B1420" t="s">
        <v>2149</v>
      </c>
      <c r="C1420" t="str">
        <f>"460005199904022324"</f>
        <v>460005199904022324</v>
      </c>
      <c r="D1420" t="str">
        <f>"248030403223"</f>
        <v>248030403223</v>
      </c>
      <c r="L1420">
        <v>1971</v>
      </c>
      <c r="M1420" t="s">
        <v>2149</v>
      </c>
      <c r="N1420" t="str">
        <f>"248030403223"</f>
        <v>248030403223</v>
      </c>
      <c r="O1420" t="str">
        <f>"460005199904022324"</f>
        <v>460005199904022324</v>
      </c>
    </row>
    <row r="1421" customFormat="1" spans="1:15">
      <c r="A1421">
        <v>1972</v>
      </c>
      <c r="B1421" t="s">
        <v>2150</v>
      </c>
      <c r="C1421" t="str">
        <f>"460036198709307228"</f>
        <v>460036198709307228</v>
      </c>
      <c r="D1421" t="str">
        <f>"248030502603"</f>
        <v>248030502603</v>
      </c>
      <c r="L1421">
        <v>1972</v>
      </c>
      <c r="M1421" t="s">
        <v>2150</v>
      </c>
      <c r="N1421" t="str">
        <f>"248030502603"</f>
        <v>248030502603</v>
      </c>
      <c r="O1421" t="str">
        <f>"460036198709307228"</f>
        <v>460036198709307228</v>
      </c>
    </row>
    <row r="1422" customFormat="1" spans="1:15">
      <c r="A1422">
        <v>1973</v>
      </c>
      <c r="B1422" t="s">
        <v>2151</v>
      </c>
      <c r="C1422" t="str">
        <f>"460028199108290840"</f>
        <v>460028199108290840</v>
      </c>
      <c r="D1422" t="str">
        <f>"248030302504"</f>
        <v>248030302504</v>
      </c>
      <c r="L1422">
        <v>1973</v>
      </c>
      <c r="M1422" t="s">
        <v>2151</v>
      </c>
      <c r="N1422" t="str">
        <f>"248030302504"</f>
        <v>248030302504</v>
      </c>
      <c r="O1422" t="str">
        <f>"460028199108290840"</f>
        <v>460028199108290840</v>
      </c>
    </row>
    <row r="1423" customFormat="1" spans="1:15">
      <c r="A1423">
        <v>1974</v>
      </c>
      <c r="B1423" t="s">
        <v>2152</v>
      </c>
      <c r="C1423" t="str">
        <f>"460004200201151241"</f>
        <v>460004200201151241</v>
      </c>
      <c r="D1423" t="str">
        <f>"248030501801"</f>
        <v>248030501801</v>
      </c>
      <c r="L1423">
        <v>1974</v>
      </c>
      <c r="M1423" t="s">
        <v>2152</v>
      </c>
      <c r="N1423" t="str">
        <f>"248030501801"</f>
        <v>248030501801</v>
      </c>
      <c r="O1423" t="str">
        <f>"460004200201151241"</f>
        <v>460004200201151241</v>
      </c>
    </row>
    <row r="1424" customFormat="1" spans="1:15">
      <c r="A1424">
        <v>1977</v>
      </c>
      <c r="B1424" t="s">
        <v>2153</v>
      </c>
      <c r="C1424" t="str">
        <f>"460003200105184645"</f>
        <v>460003200105184645</v>
      </c>
      <c r="L1424">
        <v>1977</v>
      </c>
      <c r="M1424" t="s">
        <v>2153</v>
      </c>
      <c r="O1424" t="str">
        <f>"460003200105184645"</f>
        <v>460003200105184645</v>
      </c>
    </row>
    <row r="1425" customFormat="1" spans="1:15">
      <c r="A1425">
        <v>1978</v>
      </c>
      <c r="B1425" t="s">
        <v>2154</v>
      </c>
      <c r="C1425" t="str">
        <f>"460007200207190443"</f>
        <v>460007200207190443</v>
      </c>
      <c r="D1425" t="str">
        <f>"248030200824"</f>
        <v>248030200824</v>
      </c>
      <c r="L1425">
        <v>1978</v>
      </c>
      <c r="M1425" t="s">
        <v>2154</v>
      </c>
      <c r="N1425" t="str">
        <f>"248030200824"</f>
        <v>248030200824</v>
      </c>
      <c r="O1425" t="str">
        <f>"460007200207190443"</f>
        <v>460007200207190443</v>
      </c>
    </row>
    <row r="1426" customFormat="1" spans="1:15">
      <c r="A1426">
        <v>1979</v>
      </c>
      <c r="B1426" t="s">
        <v>2155</v>
      </c>
      <c r="C1426" t="str">
        <f>"460006199308064049"</f>
        <v>460006199308064049</v>
      </c>
      <c r="L1426">
        <v>1979</v>
      </c>
      <c r="M1426" t="s">
        <v>2155</v>
      </c>
      <c r="O1426" t="str">
        <f>"460006199308064049"</f>
        <v>460006199308064049</v>
      </c>
    </row>
    <row r="1427" customFormat="1" spans="1:15">
      <c r="A1427">
        <v>1981</v>
      </c>
      <c r="B1427" t="s">
        <v>2156</v>
      </c>
      <c r="C1427" t="str">
        <f>"460004198702113825"</f>
        <v>460004198702113825</v>
      </c>
      <c r="D1427" t="str">
        <f>"248030400107"</f>
        <v>248030400107</v>
      </c>
      <c r="L1427">
        <v>1981</v>
      </c>
      <c r="M1427" t="s">
        <v>2156</v>
      </c>
      <c r="N1427" t="str">
        <f>"248030400107"</f>
        <v>248030400107</v>
      </c>
      <c r="O1427" t="str">
        <f>"460004198702113825"</f>
        <v>460004198702113825</v>
      </c>
    </row>
    <row r="1428" customFormat="1" spans="1:15">
      <c r="A1428">
        <v>1982</v>
      </c>
      <c r="B1428" t="s">
        <v>2157</v>
      </c>
      <c r="C1428" t="str">
        <f>"469023200008247927"</f>
        <v>469023200008247927</v>
      </c>
      <c r="D1428" t="str">
        <f>"248030202915"</f>
        <v>248030202915</v>
      </c>
      <c r="L1428">
        <v>1982</v>
      </c>
      <c r="M1428" t="s">
        <v>2157</v>
      </c>
      <c r="N1428" t="str">
        <f>"248030202915"</f>
        <v>248030202915</v>
      </c>
      <c r="O1428" t="str">
        <f>"469023200008247927"</f>
        <v>469023200008247927</v>
      </c>
    </row>
    <row r="1429" customFormat="1" spans="1:15">
      <c r="A1429">
        <v>1983</v>
      </c>
      <c r="B1429" t="s">
        <v>2158</v>
      </c>
      <c r="C1429" t="str">
        <f>"460005200007120026"</f>
        <v>460005200007120026</v>
      </c>
      <c r="D1429" t="str">
        <f>"248030101701"</f>
        <v>248030101701</v>
      </c>
      <c r="L1429">
        <v>1983</v>
      </c>
      <c r="M1429" t="s">
        <v>2158</v>
      </c>
      <c r="N1429" t="str">
        <f>"248030101701"</f>
        <v>248030101701</v>
      </c>
      <c r="O1429" t="str">
        <f>"460005200007120026"</f>
        <v>460005200007120026</v>
      </c>
    </row>
    <row r="1430" customFormat="1" spans="1:15">
      <c r="A1430">
        <v>1984</v>
      </c>
      <c r="B1430" t="s">
        <v>2159</v>
      </c>
      <c r="C1430" t="str">
        <f>"460004199812072424"</f>
        <v>460004199812072424</v>
      </c>
      <c r="D1430" t="str">
        <f>"248030102005"</f>
        <v>248030102005</v>
      </c>
      <c r="L1430">
        <v>1984</v>
      </c>
      <c r="M1430" t="s">
        <v>2159</v>
      </c>
      <c r="N1430" t="str">
        <f>"248030102005"</f>
        <v>248030102005</v>
      </c>
      <c r="O1430" t="str">
        <f>"460004199812072424"</f>
        <v>460004199812072424</v>
      </c>
    </row>
    <row r="1431" customFormat="1" spans="1:15">
      <c r="A1431">
        <v>1986</v>
      </c>
      <c r="B1431" t="s">
        <v>2160</v>
      </c>
      <c r="C1431" t="str">
        <f>"460006199604074444"</f>
        <v>460006199604074444</v>
      </c>
      <c r="D1431" t="str">
        <f>"248030102506"</f>
        <v>248030102506</v>
      </c>
      <c r="L1431">
        <v>1986</v>
      </c>
      <c r="M1431" t="s">
        <v>2160</v>
      </c>
      <c r="N1431" t="str">
        <f>"248030102506"</f>
        <v>248030102506</v>
      </c>
      <c r="O1431" t="str">
        <f>"460006199604074444"</f>
        <v>460006199604074444</v>
      </c>
    </row>
    <row r="1432" customFormat="1" spans="1:15">
      <c r="A1432">
        <v>1989</v>
      </c>
      <c r="B1432" t="s">
        <v>2161</v>
      </c>
      <c r="C1432" t="str">
        <f>"460027200104275722"</f>
        <v>460027200104275722</v>
      </c>
      <c r="D1432" t="str">
        <f>"248030401014"</f>
        <v>248030401014</v>
      </c>
      <c r="L1432">
        <v>1989</v>
      </c>
      <c r="M1432" t="s">
        <v>2161</v>
      </c>
      <c r="N1432" t="str">
        <f>"248030401014"</f>
        <v>248030401014</v>
      </c>
      <c r="O1432" t="str">
        <f>"460027200104275722"</f>
        <v>460027200104275722</v>
      </c>
    </row>
    <row r="1433" customFormat="1" spans="1:15">
      <c r="A1433">
        <v>1990</v>
      </c>
      <c r="B1433" t="s">
        <v>2162</v>
      </c>
      <c r="C1433" t="str">
        <f>"522127199908226027"</f>
        <v>522127199908226027</v>
      </c>
      <c r="L1433">
        <v>1990</v>
      </c>
      <c r="M1433" t="s">
        <v>2162</v>
      </c>
      <c r="O1433" t="str">
        <f>"522127199908226027"</f>
        <v>522127199908226027</v>
      </c>
    </row>
    <row r="1434" customFormat="1" spans="1:15">
      <c r="A1434">
        <v>1991</v>
      </c>
      <c r="B1434" t="s">
        <v>2163</v>
      </c>
      <c r="C1434" t="str">
        <f>"460033199505163264"</f>
        <v>460033199505163264</v>
      </c>
      <c r="L1434">
        <v>1991</v>
      </c>
      <c r="M1434" t="s">
        <v>2163</v>
      </c>
      <c r="O1434" t="str">
        <f>"460033199505163264"</f>
        <v>460033199505163264</v>
      </c>
    </row>
    <row r="1435" customFormat="1" spans="1:15">
      <c r="A1435">
        <v>1992</v>
      </c>
      <c r="B1435" t="s">
        <v>2164</v>
      </c>
      <c r="C1435" t="str">
        <f>"460031199412225240"</f>
        <v>460031199412225240</v>
      </c>
      <c r="D1435" t="str">
        <f>"248030101720"</f>
        <v>248030101720</v>
      </c>
      <c r="L1435">
        <v>1992</v>
      </c>
      <c r="M1435" t="s">
        <v>2164</v>
      </c>
      <c r="N1435" t="str">
        <f>"248030101720"</f>
        <v>248030101720</v>
      </c>
      <c r="O1435" t="str">
        <f>"460031199412225240"</f>
        <v>460031199412225240</v>
      </c>
    </row>
    <row r="1436" customFormat="1" spans="1:15">
      <c r="A1436">
        <v>1993</v>
      </c>
      <c r="B1436" t="s">
        <v>2165</v>
      </c>
      <c r="C1436" t="str">
        <f>"460031199509030810"</f>
        <v>460031199509030810</v>
      </c>
      <c r="D1436" t="str">
        <f>"248030203414"</f>
        <v>248030203414</v>
      </c>
      <c r="L1436">
        <v>1993</v>
      </c>
      <c r="M1436" t="s">
        <v>2165</v>
      </c>
      <c r="N1436" t="str">
        <f>"248030203414"</f>
        <v>248030203414</v>
      </c>
      <c r="O1436" t="str">
        <f>"460031199509030810"</f>
        <v>460031199509030810</v>
      </c>
    </row>
    <row r="1437" customFormat="1" spans="1:15">
      <c r="A1437">
        <v>1994</v>
      </c>
      <c r="B1437" t="s">
        <v>2166</v>
      </c>
      <c r="C1437" t="str">
        <f>"469023200202090628"</f>
        <v>469023200202090628</v>
      </c>
      <c r="D1437" t="str">
        <f>"248030100925"</f>
        <v>248030100925</v>
      </c>
      <c r="L1437">
        <v>1994</v>
      </c>
      <c r="M1437" t="s">
        <v>2166</v>
      </c>
      <c r="N1437" t="str">
        <f>"248030100925"</f>
        <v>248030100925</v>
      </c>
      <c r="O1437" t="str">
        <f>"469023200202090628"</f>
        <v>469023200202090628</v>
      </c>
    </row>
    <row r="1438" customFormat="1" spans="1:15">
      <c r="A1438">
        <v>1995</v>
      </c>
      <c r="B1438" t="s">
        <v>2167</v>
      </c>
      <c r="C1438" t="str">
        <f>"430525199405152324"</f>
        <v>430525199405152324</v>
      </c>
      <c r="D1438" t="str">
        <f>"248030402112"</f>
        <v>248030402112</v>
      </c>
      <c r="L1438">
        <v>1995</v>
      </c>
      <c r="M1438" t="s">
        <v>2167</v>
      </c>
      <c r="N1438" t="str">
        <f>"248030402112"</f>
        <v>248030402112</v>
      </c>
      <c r="O1438" t="str">
        <f>"430525199405152324"</f>
        <v>430525199405152324</v>
      </c>
    </row>
    <row r="1439" customFormat="1" spans="1:15">
      <c r="A1439">
        <v>1996</v>
      </c>
      <c r="B1439" t="s">
        <v>2168</v>
      </c>
      <c r="C1439" t="str">
        <f>"460025199208162126"</f>
        <v>460025199208162126</v>
      </c>
      <c r="D1439" t="str">
        <f>"248030501914"</f>
        <v>248030501914</v>
      </c>
      <c r="L1439">
        <v>1996</v>
      </c>
      <c r="M1439" t="s">
        <v>2168</v>
      </c>
      <c r="N1439" t="str">
        <f>"248030501914"</f>
        <v>248030501914</v>
      </c>
      <c r="O1439" t="str">
        <f>"460025199208162126"</f>
        <v>460025199208162126</v>
      </c>
    </row>
    <row r="1440" customFormat="1" spans="1:15">
      <c r="A1440">
        <v>1999</v>
      </c>
      <c r="B1440" t="s">
        <v>2169</v>
      </c>
      <c r="C1440" t="str">
        <f>"460033200202083246"</f>
        <v>460033200202083246</v>
      </c>
      <c r="D1440" t="str">
        <f>"248030201007"</f>
        <v>248030201007</v>
      </c>
      <c r="L1440">
        <v>1999</v>
      </c>
      <c r="M1440" t="s">
        <v>2169</v>
      </c>
      <c r="N1440" t="str">
        <f>"248030201007"</f>
        <v>248030201007</v>
      </c>
      <c r="O1440" t="str">
        <f>"460033200202083246"</f>
        <v>460033200202083246</v>
      </c>
    </row>
    <row r="1441" customFormat="1" spans="1:15">
      <c r="A1441">
        <v>2000</v>
      </c>
      <c r="B1441" t="s">
        <v>2170</v>
      </c>
      <c r="C1441" t="str">
        <f>"460006200107131642"</f>
        <v>460006200107131642</v>
      </c>
      <c r="D1441" t="str">
        <f>"248030200904"</f>
        <v>248030200904</v>
      </c>
      <c r="L1441">
        <v>2000</v>
      </c>
      <c r="M1441" t="s">
        <v>2170</v>
      </c>
      <c r="N1441" t="str">
        <f>"248030200904"</f>
        <v>248030200904</v>
      </c>
      <c r="O1441" t="str">
        <f>"460006200107131642"</f>
        <v>460006200107131642</v>
      </c>
    </row>
    <row r="1442" customFormat="1" spans="1:15">
      <c r="A1442">
        <v>2001</v>
      </c>
      <c r="B1442" t="s">
        <v>2171</v>
      </c>
      <c r="C1442" t="str">
        <f>"460005199808224321"</f>
        <v>460005199808224321</v>
      </c>
      <c r="D1442" t="str">
        <f>"248030503907"</f>
        <v>248030503907</v>
      </c>
      <c r="L1442">
        <v>2001</v>
      </c>
      <c r="M1442" t="s">
        <v>2171</v>
      </c>
      <c r="N1442" t="str">
        <f>"248030503907"</f>
        <v>248030503907</v>
      </c>
      <c r="O1442" t="str">
        <f>"460005199808224321"</f>
        <v>460005199808224321</v>
      </c>
    </row>
    <row r="1443" customFormat="1" spans="1:15">
      <c r="A1443">
        <v>2004</v>
      </c>
      <c r="B1443" t="s">
        <v>2172</v>
      </c>
      <c r="C1443" t="str">
        <f>"469023200106263744"</f>
        <v>469023200106263744</v>
      </c>
      <c r="D1443" t="str">
        <f>"248030401516"</f>
        <v>248030401516</v>
      </c>
      <c r="L1443">
        <v>2004</v>
      </c>
      <c r="M1443" t="s">
        <v>2172</v>
      </c>
      <c r="N1443" t="str">
        <f>"248030401516"</f>
        <v>248030401516</v>
      </c>
      <c r="O1443" t="str">
        <f>"469023200106263744"</f>
        <v>469023200106263744</v>
      </c>
    </row>
    <row r="1444" customFormat="1" spans="1:15">
      <c r="A1444">
        <v>2006</v>
      </c>
      <c r="B1444" t="s">
        <v>2173</v>
      </c>
      <c r="C1444" t="str">
        <f>"460006200105252328"</f>
        <v>460006200105252328</v>
      </c>
      <c r="D1444" t="str">
        <f>"248030400817"</f>
        <v>248030400817</v>
      </c>
      <c r="L1444">
        <v>2006</v>
      </c>
      <c r="M1444" t="s">
        <v>2173</v>
      </c>
      <c r="N1444" t="str">
        <f>"248030400817"</f>
        <v>248030400817</v>
      </c>
      <c r="O1444" t="str">
        <f>"460006200105252328"</f>
        <v>460006200105252328</v>
      </c>
    </row>
    <row r="1445" customFormat="1" spans="1:15">
      <c r="A1445">
        <v>2008</v>
      </c>
      <c r="B1445" t="s">
        <v>638</v>
      </c>
      <c r="C1445" t="str">
        <f>"460003199606097026"</f>
        <v>460003199606097026</v>
      </c>
      <c r="D1445" t="str">
        <f>"248030104212"</f>
        <v>248030104212</v>
      </c>
      <c r="L1445">
        <v>2008</v>
      </c>
      <c r="M1445" t="s">
        <v>638</v>
      </c>
      <c r="N1445" t="str">
        <f>"248030104212"</f>
        <v>248030104212</v>
      </c>
      <c r="O1445" t="str">
        <f>"460003199606097026"</f>
        <v>460003199606097026</v>
      </c>
    </row>
    <row r="1446" customFormat="1" spans="1:15">
      <c r="A1446">
        <v>2009</v>
      </c>
      <c r="B1446" t="s">
        <v>2174</v>
      </c>
      <c r="C1446" t="str">
        <f>"440782199811233920"</f>
        <v>440782199811233920</v>
      </c>
      <c r="L1446">
        <v>2009</v>
      </c>
      <c r="M1446" t="s">
        <v>2174</v>
      </c>
      <c r="O1446" t="str">
        <f>"440782199811233920"</f>
        <v>440782199811233920</v>
      </c>
    </row>
    <row r="1447" customFormat="1" spans="1:15">
      <c r="A1447">
        <v>2010</v>
      </c>
      <c r="B1447" t="s">
        <v>342</v>
      </c>
      <c r="C1447" t="str">
        <f>"460030199202150627"</f>
        <v>460030199202150627</v>
      </c>
      <c r="D1447" t="str">
        <f>"248030402109"</f>
        <v>248030402109</v>
      </c>
      <c r="L1447">
        <v>2010</v>
      </c>
      <c r="M1447" t="s">
        <v>342</v>
      </c>
      <c r="N1447" t="str">
        <f>"248030402109"</f>
        <v>248030402109</v>
      </c>
      <c r="O1447" t="str">
        <f>"460030199202150627"</f>
        <v>460030199202150627</v>
      </c>
    </row>
    <row r="1448" customFormat="1" spans="1:15">
      <c r="A1448">
        <v>2011</v>
      </c>
      <c r="B1448" t="s">
        <v>660</v>
      </c>
      <c r="C1448" t="str">
        <f>"460035199710040020"</f>
        <v>460035199710040020</v>
      </c>
      <c r="D1448" t="str">
        <f>"248030103124"</f>
        <v>248030103124</v>
      </c>
      <c r="L1448">
        <v>2011</v>
      </c>
      <c r="M1448" t="s">
        <v>660</v>
      </c>
      <c r="N1448" t="str">
        <f>"248030103124"</f>
        <v>248030103124</v>
      </c>
      <c r="O1448" t="str">
        <f>"460035199710040020"</f>
        <v>460035199710040020</v>
      </c>
    </row>
    <row r="1449" customFormat="1" spans="1:15">
      <c r="A1449">
        <v>2012</v>
      </c>
      <c r="B1449" t="s">
        <v>2175</v>
      </c>
      <c r="C1449" t="str">
        <f>"142625200204292076"</f>
        <v>142625200204292076</v>
      </c>
      <c r="D1449" t="str">
        <f>"248030202101"</f>
        <v>248030202101</v>
      </c>
      <c r="L1449">
        <v>2012</v>
      </c>
      <c r="M1449" t="s">
        <v>2175</v>
      </c>
      <c r="N1449" t="str">
        <f>"248030202101"</f>
        <v>248030202101</v>
      </c>
      <c r="O1449" t="str">
        <f>"142625200204292076"</f>
        <v>142625200204292076</v>
      </c>
    </row>
    <row r="1450" customFormat="1" spans="1:15">
      <c r="A1450">
        <v>2013</v>
      </c>
      <c r="B1450" t="s">
        <v>2176</v>
      </c>
      <c r="C1450" t="str">
        <f>"46000719990728228X"</f>
        <v>46000719990728228X</v>
      </c>
      <c r="D1450" t="str">
        <f>"248030501604"</f>
        <v>248030501604</v>
      </c>
      <c r="L1450">
        <v>2013</v>
      </c>
      <c r="M1450" t="s">
        <v>2176</v>
      </c>
      <c r="N1450" t="str">
        <f>"248030501604"</f>
        <v>248030501604</v>
      </c>
      <c r="O1450" t="str">
        <f>"46000719990728228X"</f>
        <v>46000719990728228X</v>
      </c>
    </row>
    <row r="1451" customFormat="1" spans="1:15">
      <c r="A1451">
        <v>2015</v>
      </c>
      <c r="B1451" t="s">
        <v>2177</v>
      </c>
      <c r="C1451" t="str">
        <f>"410182199107230744"</f>
        <v>410182199107230744</v>
      </c>
      <c r="L1451">
        <v>2015</v>
      </c>
      <c r="M1451" t="s">
        <v>2177</v>
      </c>
      <c r="O1451" t="str">
        <f>"410182199107230744"</f>
        <v>410182199107230744</v>
      </c>
    </row>
    <row r="1452" customFormat="1" spans="1:15">
      <c r="A1452">
        <v>2016</v>
      </c>
      <c r="B1452" t="s">
        <v>2178</v>
      </c>
      <c r="C1452" t="str">
        <f>"44522119990927192X"</f>
        <v>44522119990927192X</v>
      </c>
      <c r="L1452">
        <v>2016</v>
      </c>
      <c r="M1452" t="s">
        <v>2178</v>
      </c>
      <c r="O1452" t="str">
        <f>"44522119990927192X"</f>
        <v>44522119990927192X</v>
      </c>
    </row>
    <row r="1453" customFormat="1" spans="1:15">
      <c r="A1453">
        <v>2019</v>
      </c>
      <c r="B1453" t="s">
        <v>2179</v>
      </c>
      <c r="C1453" t="str">
        <f>"360502199909151314"</f>
        <v>360502199909151314</v>
      </c>
      <c r="L1453">
        <v>2019</v>
      </c>
      <c r="M1453" t="s">
        <v>2179</v>
      </c>
      <c r="O1453" t="str">
        <f>"360502199909151314"</f>
        <v>360502199909151314</v>
      </c>
    </row>
    <row r="1454" customFormat="1" spans="1:15">
      <c r="A1454">
        <v>2020</v>
      </c>
      <c r="B1454" t="s">
        <v>2180</v>
      </c>
      <c r="C1454" t="str">
        <f>"239005200212280024"</f>
        <v>239005200212280024</v>
      </c>
      <c r="D1454" t="str">
        <f>"248030302306"</f>
        <v>248030302306</v>
      </c>
      <c r="L1454">
        <v>2020</v>
      </c>
      <c r="M1454" t="s">
        <v>2180</v>
      </c>
      <c r="N1454" t="str">
        <f>"248030302306"</f>
        <v>248030302306</v>
      </c>
      <c r="O1454" t="str">
        <f>"239005200212280024"</f>
        <v>239005200212280024</v>
      </c>
    </row>
    <row r="1455" customFormat="1" spans="1:15">
      <c r="A1455">
        <v>2021</v>
      </c>
      <c r="B1455" t="s">
        <v>562</v>
      </c>
      <c r="C1455" t="str">
        <f>"460030199810215420"</f>
        <v>460030199810215420</v>
      </c>
      <c r="D1455" t="str">
        <f>"248030302705"</f>
        <v>248030302705</v>
      </c>
      <c r="L1455">
        <v>2021</v>
      </c>
      <c r="M1455" t="s">
        <v>562</v>
      </c>
      <c r="N1455" t="str">
        <f>"248030302705"</f>
        <v>248030302705</v>
      </c>
      <c r="O1455" t="str">
        <f>"460030199810215420"</f>
        <v>460030199810215420</v>
      </c>
    </row>
    <row r="1456" customFormat="1" spans="1:15">
      <c r="A1456">
        <v>2023</v>
      </c>
      <c r="B1456" t="s">
        <v>2181</v>
      </c>
      <c r="C1456" t="str">
        <f>"460106199910063423"</f>
        <v>460106199910063423</v>
      </c>
      <c r="D1456" t="str">
        <f>"248030200620"</f>
        <v>248030200620</v>
      </c>
      <c r="L1456">
        <v>2023</v>
      </c>
      <c r="M1456" t="s">
        <v>2181</v>
      </c>
      <c r="N1456" t="str">
        <f>"248030200620"</f>
        <v>248030200620</v>
      </c>
      <c r="O1456" t="str">
        <f>"460106199910063423"</f>
        <v>460106199910063423</v>
      </c>
    </row>
    <row r="1457" customFormat="1" spans="1:15">
      <c r="A1457">
        <v>2024</v>
      </c>
      <c r="B1457" t="s">
        <v>2182</v>
      </c>
      <c r="C1457" t="str">
        <f>"460007199508034668"</f>
        <v>460007199508034668</v>
      </c>
      <c r="D1457" t="str">
        <f>"248030203610"</f>
        <v>248030203610</v>
      </c>
      <c r="L1457">
        <v>2024</v>
      </c>
      <c r="M1457" t="s">
        <v>2182</v>
      </c>
      <c r="N1457" t="str">
        <f>"248030203610"</f>
        <v>248030203610</v>
      </c>
      <c r="O1457" t="str">
        <f>"460007199508034668"</f>
        <v>460007199508034668</v>
      </c>
    </row>
    <row r="1458" customFormat="1" spans="1:15">
      <c r="A1458">
        <v>2025</v>
      </c>
      <c r="B1458" t="s">
        <v>2183</v>
      </c>
      <c r="C1458" t="str">
        <f>"460027199508101758"</f>
        <v>460027199508101758</v>
      </c>
      <c r="D1458" t="str">
        <f>"248030201622"</f>
        <v>248030201622</v>
      </c>
      <c r="L1458">
        <v>2025</v>
      </c>
      <c r="M1458" t="s">
        <v>2183</v>
      </c>
      <c r="N1458" t="str">
        <f>"248030201622"</f>
        <v>248030201622</v>
      </c>
      <c r="O1458" t="str">
        <f>"460027199508101758"</f>
        <v>460027199508101758</v>
      </c>
    </row>
    <row r="1459" customFormat="1" spans="1:15">
      <c r="A1459">
        <v>2026</v>
      </c>
      <c r="B1459" t="s">
        <v>2184</v>
      </c>
      <c r="C1459" t="str">
        <f>"469026200206245227"</f>
        <v>469026200206245227</v>
      </c>
      <c r="D1459" t="str">
        <f>"248030504114"</f>
        <v>248030504114</v>
      </c>
      <c r="L1459">
        <v>2026</v>
      </c>
      <c r="M1459" t="s">
        <v>2184</v>
      </c>
      <c r="N1459" t="str">
        <f>"248030504114"</f>
        <v>248030504114</v>
      </c>
      <c r="O1459" t="str">
        <f>"469026200206245227"</f>
        <v>469026200206245227</v>
      </c>
    </row>
    <row r="1460" customFormat="1" spans="1:15">
      <c r="A1460">
        <v>2027</v>
      </c>
      <c r="B1460" t="s">
        <v>2185</v>
      </c>
      <c r="C1460" t="str">
        <f>"460002200201085421"</f>
        <v>460002200201085421</v>
      </c>
      <c r="D1460" t="str">
        <f>"248030103130"</f>
        <v>248030103130</v>
      </c>
      <c r="L1460">
        <v>2027</v>
      </c>
      <c r="M1460" t="s">
        <v>2185</v>
      </c>
      <c r="N1460" t="str">
        <f>"248030103130"</f>
        <v>248030103130</v>
      </c>
      <c r="O1460" t="str">
        <f>"460002200201085421"</f>
        <v>460002200201085421</v>
      </c>
    </row>
    <row r="1461" customFormat="1" spans="1:15">
      <c r="A1461">
        <v>2028</v>
      </c>
      <c r="B1461" t="s">
        <v>2186</v>
      </c>
      <c r="C1461" t="str">
        <f>"460035199302032128"</f>
        <v>460035199302032128</v>
      </c>
      <c r="D1461" t="str">
        <f>"248030301610"</f>
        <v>248030301610</v>
      </c>
      <c r="L1461">
        <v>2028</v>
      </c>
      <c r="M1461" t="s">
        <v>2186</v>
      </c>
      <c r="N1461" t="str">
        <f>"248030301610"</f>
        <v>248030301610</v>
      </c>
      <c r="O1461" t="str">
        <f>"460035199302032128"</f>
        <v>460035199302032128</v>
      </c>
    </row>
    <row r="1462" customFormat="1" spans="1:15">
      <c r="A1462">
        <v>2031</v>
      </c>
      <c r="B1462" t="s">
        <v>398</v>
      </c>
      <c r="C1462" t="str">
        <f>"460005200208165124"</f>
        <v>460005200208165124</v>
      </c>
      <c r="D1462" t="str">
        <f>"248030101822"</f>
        <v>248030101822</v>
      </c>
      <c r="L1462">
        <v>2031</v>
      </c>
      <c r="M1462" t="s">
        <v>398</v>
      </c>
      <c r="N1462" t="str">
        <f>"248030101822"</f>
        <v>248030101822</v>
      </c>
      <c r="O1462" t="str">
        <f>"460005200208165124"</f>
        <v>460005200208165124</v>
      </c>
    </row>
    <row r="1463" customFormat="1" spans="1:15">
      <c r="A1463">
        <v>2032</v>
      </c>
      <c r="B1463" t="s">
        <v>577</v>
      </c>
      <c r="C1463" t="str">
        <f>"460200199810294707"</f>
        <v>460200199810294707</v>
      </c>
      <c r="D1463" t="str">
        <f>"248030302727"</f>
        <v>248030302727</v>
      </c>
      <c r="L1463">
        <v>2032</v>
      </c>
      <c r="M1463" t="s">
        <v>577</v>
      </c>
      <c r="N1463" t="str">
        <f>"248030302727"</f>
        <v>248030302727</v>
      </c>
      <c r="O1463" t="str">
        <f>"460200199810294707"</f>
        <v>460200199810294707</v>
      </c>
    </row>
    <row r="1464" customFormat="1" spans="1:15">
      <c r="A1464">
        <v>2033</v>
      </c>
      <c r="B1464" t="s">
        <v>2187</v>
      </c>
      <c r="C1464" t="str">
        <f>"460028200110043617"</f>
        <v>460028200110043617</v>
      </c>
      <c r="D1464" t="str">
        <f>"248030203814"</f>
        <v>248030203814</v>
      </c>
      <c r="L1464">
        <v>2033</v>
      </c>
      <c r="M1464" t="s">
        <v>2187</v>
      </c>
      <c r="N1464" t="str">
        <f>"248030203814"</f>
        <v>248030203814</v>
      </c>
      <c r="O1464" t="str">
        <f>"460028200110043617"</f>
        <v>460028200110043617</v>
      </c>
    </row>
    <row r="1465" customFormat="1" spans="1:15">
      <c r="A1465">
        <v>2034</v>
      </c>
      <c r="B1465" t="s">
        <v>2188</v>
      </c>
      <c r="C1465" t="str">
        <f>"460006199708164022"</f>
        <v>460006199708164022</v>
      </c>
      <c r="D1465" t="str">
        <f>"248030404306"</f>
        <v>248030404306</v>
      </c>
      <c r="L1465">
        <v>2034</v>
      </c>
      <c r="M1465" t="s">
        <v>2188</v>
      </c>
      <c r="N1465" t="str">
        <f>"248030404306"</f>
        <v>248030404306</v>
      </c>
      <c r="O1465" t="str">
        <f>"460006199708164022"</f>
        <v>460006199708164022</v>
      </c>
    </row>
    <row r="1466" customFormat="1" spans="1:15">
      <c r="A1466">
        <v>2035</v>
      </c>
      <c r="B1466" t="s">
        <v>2189</v>
      </c>
      <c r="C1466" t="str">
        <f>"460033199104103228"</f>
        <v>460033199104103228</v>
      </c>
      <c r="D1466" t="str">
        <f>"248030104225"</f>
        <v>248030104225</v>
      </c>
      <c r="L1466">
        <v>2035</v>
      </c>
      <c r="M1466" t="s">
        <v>2189</v>
      </c>
      <c r="N1466" t="str">
        <f>"248030104225"</f>
        <v>248030104225</v>
      </c>
      <c r="O1466" t="str">
        <f>"460033199104103228"</f>
        <v>460033199104103228</v>
      </c>
    </row>
    <row r="1467" customFormat="1" spans="1:15">
      <c r="A1467">
        <v>2037</v>
      </c>
      <c r="B1467" t="s">
        <v>2190</v>
      </c>
      <c r="C1467" t="str">
        <f>"460026200108240942"</f>
        <v>460026200108240942</v>
      </c>
      <c r="L1467">
        <v>2037</v>
      </c>
      <c r="M1467" t="s">
        <v>2190</v>
      </c>
      <c r="O1467" t="str">
        <f>"460026200108240942"</f>
        <v>460026200108240942</v>
      </c>
    </row>
    <row r="1468" customFormat="1" spans="1:15">
      <c r="A1468">
        <v>2038</v>
      </c>
      <c r="B1468" t="s">
        <v>2191</v>
      </c>
      <c r="C1468" t="str">
        <f>"460031199701104824"</f>
        <v>460031199701104824</v>
      </c>
      <c r="L1468">
        <v>2038</v>
      </c>
      <c r="M1468" t="s">
        <v>2191</v>
      </c>
      <c r="O1468" t="str">
        <f>"460031199701104824"</f>
        <v>460031199701104824</v>
      </c>
    </row>
    <row r="1469" customFormat="1" spans="1:15">
      <c r="A1469">
        <v>2039</v>
      </c>
      <c r="B1469" t="s">
        <v>2149</v>
      </c>
      <c r="C1469" t="str">
        <f>"460104199810100327"</f>
        <v>460104199810100327</v>
      </c>
      <c r="D1469" t="str">
        <f>"248030403523"</f>
        <v>248030403523</v>
      </c>
      <c r="L1469">
        <v>2039</v>
      </c>
      <c r="M1469" t="s">
        <v>2149</v>
      </c>
      <c r="N1469" t="str">
        <f>"248030403523"</f>
        <v>248030403523</v>
      </c>
      <c r="O1469" t="str">
        <f>"460104199810100327"</f>
        <v>460104199810100327</v>
      </c>
    </row>
    <row r="1470" customFormat="1" spans="1:15">
      <c r="A1470">
        <v>2042</v>
      </c>
      <c r="B1470" t="s">
        <v>2192</v>
      </c>
      <c r="C1470" t="str">
        <f>"46000319980612464X"</f>
        <v>46000319980612464X</v>
      </c>
      <c r="D1470" t="str">
        <f>"248030200826"</f>
        <v>248030200826</v>
      </c>
      <c r="L1470">
        <v>2042</v>
      </c>
      <c r="M1470" t="s">
        <v>2192</v>
      </c>
      <c r="N1470" t="str">
        <f>"248030200826"</f>
        <v>248030200826</v>
      </c>
      <c r="O1470" t="str">
        <f>"46000319980612464X"</f>
        <v>46000319980612464X</v>
      </c>
    </row>
    <row r="1471" customFormat="1" spans="1:15">
      <c r="A1471">
        <v>2043</v>
      </c>
      <c r="B1471" t="s">
        <v>2193</v>
      </c>
      <c r="C1471" t="str">
        <f>"460002200209012016"</f>
        <v>460002200209012016</v>
      </c>
      <c r="D1471" t="str">
        <f>"248030201717"</f>
        <v>248030201717</v>
      </c>
      <c r="L1471">
        <v>2043</v>
      </c>
      <c r="M1471" t="s">
        <v>2193</v>
      </c>
      <c r="N1471" t="str">
        <f>"248030201717"</f>
        <v>248030201717</v>
      </c>
      <c r="O1471" t="str">
        <f>"460002200209012016"</f>
        <v>460002200209012016</v>
      </c>
    </row>
    <row r="1472" customFormat="1" spans="1:15">
      <c r="A1472">
        <v>2044</v>
      </c>
      <c r="B1472" t="s">
        <v>2194</v>
      </c>
      <c r="C1472" t="str">
        <f>"460004199309190626"</f>
        <v>460004199309190626</v>
      </c>
      <c r="L1472">
        <v>2044</v>
      </c>
      <c r="M1472" t="s">
        <v>2194</v>
      </c>
      <c r="O1472" t="str">
        <f>"460004199309190626"</f>
        <v>460004199309190626</v>
      </c>
    </row>
    <row r="1473" customFormat="1" spans="1:15">
      <c r="A1473">
        <v>2045</v>
      </c>
      <c r="B1473" t="s">
        <v>2195</v>
      </c>
      <c r="C1473" t="str">
        <f>"460006199106082732"</f>
        <v>460006199106082732</v>
      </c>
      <c r="D1473" t="str">
        <f>"248030300109"</f>
        <v>248030300109</v>
      </c>
      <c r="L1473">
        <v>2045</v>
      </c>
      <c r="M1473" t="s">
        <v>2195</v>
      </c>
      <c r="N1473" t="str">
        <f>"248030300109"</f>
        <v>248030300109</v>
      </c>
      <c r="O1473" t="str">
        <f>"460006199106082732"</f>
        <v>460006199106082732</v>
      </c>
    </row>
    <row r="1474" customFormat="1" spans="1:15">
      <c r="A1474">
        <v>2048</v>
      </c>
      <c r="B1474" t="s">
        <v>2196</v>
      </c>
      <c r="C1474" t="str">
        <f>"460033199609243920"</f>
        <v>460033199609243920</v>
      </c>
      <c r="D1474" t="str">
        <f>"248030302014"</f>
        <v>248030302014</v>
      </c>
      <c r="L1474">
        <v>2048</v>
      </c>
      <c r="M1474" t="s">
        <v>2196</v>
      </c>
      <c r="N1474" t="str">
        <f>"248030302014"</f>
        <v>248030302014</v>
      </c>
      <c r="O1474" t="str">
        <f>"460033199609243920"</f>
        <v>460033199609243920</v>
      </c>
    </row>
    <row r="1475" customFormat="1" spans="1:15">
      <c r="A1475">
        <v>2049</v>
      </c>
      <c r="B1475" t="s">
        <v>611</v>
      </c>
      <c r="C1475" t="str">
        <f>"460033199705272684"</f>
        <v>460033199705272684</v>
      </c>
      <c r="D1475" t="str">
        <f>"248030104110"</f>
        <v>248030104110</v>
      </c>
      <c r="L1475">
        <v>2049</v>
      </c>
      <c r="M1475" t="s">
        <v>611</v>
      </c>
      <c r="N1475" t="str">
        <f>"248030104110"</f>
        <v>248030104110</v>
      </c>
      <c r="O1475" t="str">
        <f>"460033199705272684"</f>
        <v>460033199705272684</v>
      </c>
    </row>
    <row r="1476" customFormat="1" spans="1:15">
      <c r="A1476">
        <v>2050</v>
      </c>
      <c r="B1476" t="s">
        <v>2197</v>
      </c>
      <c r="C1476" t="str">
        <f>"500241200012120919"</f>
        <v>500241200012120919</v>
      </c>
      <c r="D1476" t="str">
        <f>"248030302608"</f>
        <v>248030302608</v>
      </c>
      <c r="L1476">
        <v>2050</v>
      </c>
      <c r="M1476" t="s">
        <v>2197</v>
      </c>
      <c r="N1476" t="str">
        <f>"248030302608"</f>
        <v>248030302608</v>
      </c>
      <c r="O1476" t="str">
        <f>"500241200012120919"</f>
        <v>500241200012120919</v>
      </c>
    </row>
    <row r="1477" customFormat="1" spans="1:15">
      <c r="A1477">
        <v>2051</v>
      </c>
      <c r="B1477" t="s">
        <v>2198</v>
      </c>
      <c r="C1477" t="str">
        <f>"460028199111200068"</f>
        <v>460028199111200068</v>
      </c>
      <c r="D1477" t="str">
        <f>"248030203910"</f>
        <v>248030203910</v>
      </c>
      <c r="L1477">
        <v>2051</v>
      </c>
      <c r="M1477" t="s">
        <v>2198</v>
      </c>
      <c r="N1477" t="str">
        <f>"248030203910"</f>
        <v>248030203910</v>
      </c>
      <c r="O1477" t="str">
        <f>"460028199111200068"</f>
        <v>460028199111200068</v>
      </c>
    </row>
    <row r="1478" customFormat="1" spans="1:15">
      <c r="A1478">
        <v>2053</v>
      </c>
      <c r="B1478" t="s">
        <v>550</v>
      </c>
      <c r="C1478" t="str">
        <f>"232301199710127814"</f>
        <v>232301199710127814</v>
      </c>
      <c r="D1478" t="str">
        <f>"248030400710"</f>
        <v>248030400710</v>
      </c>
      <c r="L1478">
        <v>2053</v>
      </c>
      <c r="M1478" t="s">
        <v>550</v>
      </c>
      <c r="N1478" t="str">
        <f>"248030400710"</f>
        <v>248030400710</v>
      </c>
      <c r="O1478" t="str">
        <f>"232301199710127814"</f>
        <v>232301199710127814</v>
      </c>
    </row>
    <row r="1479" customFormat="1" spans="1:15">
      <c r="A1479">
        <v>2054</v>
      </c>
      <c r="B1479" t="s">
        <v>2199</v>
      </c>
      <c r="C1479" t="str">
        <f>"460028200211031623"</f>
        <v>460028200211031623</v>
      </c>
      <c r="D1479" t="str">
        <f>"248030102425"</f>
        <v>248030102425</v>
      </c>
      <c r="L1479">
        <v>2054</v>
      </c>
      <c r="M1479" t="s">
        <v>2199</v>
      </c>
      <c r="N1479" t="str">
        <f>"248030102425"</f>
        <v>248030102425</v>
      </c>
      <c r="O1479" t="str">
        <f>"460028200211031623"</f>
        <v>460028200211031623</v>
      </c>
    </row>
    <row r="1480" customFormat="1" spans="1:15">
      <c r="A1480">
        <v>2055</v>
      </c>
      <c r="B1480" t="s">
        <v>2200</v>
      </c>
      <c r="C1480" t="str">
        <f>"460103199308281525"</f>
        <v>460103199308281525</v>
      </c>
      <c r="L1480">
        <v>2055</v>
      </c>
      <c r="M1480" t="s">
        <v>2200</v>
      </c>
      <c r="O1480" t="str">
        <f>"460103199308281525"</f>
        <v>460103199308281525</v>
      </c>
    </row>
    <row r="1481" customFormat="1" spans="1:15">
      <c r="A1481">
        <v>2056</v>
      </c>
      <c r="B1481" t="s">
        <v>2201</v>
      </c>
      <c r="C1481" t="str">
        <f>"460026199806011228"</f>
        <v>460026199806011228</v>
      </c>
      <c r="D1481" t="str">
        <f>"248030200208"</f>
        <v>248030200208</v>
      </c>
      <c r="L1481">
        <v>2056</v>
      </c>
      <c r="M1481" t="s">
        <v>2201</v>
      </c>
      <c r="N1481" t="str">
        <f>"248030200208"</f>
        <v>248030200208</v>
      </c>
      <c r="O1481" t="str">
        <f>"460026199806011228"</f>
        <v>460026199806011228</v>
      </c>
    </row>
    <row r="1482" customFormat="1" spans="1:15">
      <c r="A1482">
        <v>2058</v>
      </c>
      <c r="B1482" t="s">
        <v>2202</v>
      </c>
      <c r="C1482" t="str">
        <f>"46000219950921102X"</f>
        <v>46000219950921102X</v>
      </c>
      <c r="D1482" t="str">
        <f>"248030101314"</f>
        <v>248030101314</v>
      </c>
      <c r="L1482">
        <v>2058</v>
      </c>
      <c r="M1482" t="s">
        <v>2202</v>
      </c>
      <c r="N1482" t="str">
        <f>"248030101314"</f>
        <v>248030101314</v>
      </c>
      <c r="O1482" t="str">
        <f>"46000219950921102X"</f>
        <v>46000219950921102X</v>
      </c>
    </row>
    <row r="1483" customFormat="1" spans="1:15">
      <c r="A1483">
        <v>2059</v>
      </c>
      <c r="B1483" t="s">
        <v>2203</v>
      </c>
      <c r="C1483" t="str">
        <f>"43112220000903716X"</f>
        <v>43112220000903716X</v>
      </c>
      <c r="D1483" t="str">
        <f>"248030102219"</f>
        <v>248030102219</v>
      </c>
      <c r="L1483">
        <v>2059</v>
      </c>
      <c r="M1483" t="s">
        <v>2203</v>
      </c>
      <c r="N1483" t="str">
        <f>"248030102219"</f>
        <v>248030102219</v>
      </c>
      <c r="O1483" t="str">
        <f>"43112220000903716X"</f>
        <v>43112220000903716X</v>
      </c>
    </row>
    <row r="1484" customFormat="1" spans="1:15">
      <c r="A1484">
        <v>2060</v>
      </c>
      <c r="B1484" t="s">
        <v>2204</v>
      </c>
      <c r="C1484" t="str">
        <f>"460025200009110927"</f>
        <v>460025200009110927</v>
      </c>
      <c r="L1484">
        <v>2060</v>
      </c>
      <c r="M1484" t="s">
        <v>2204</v>
      </c>
      <c r="O1484" t="str">
        <f>"460025200009110927"</f>
        <v>460025200009110927</v>
      </c>
    </row>
    <row r="1485" customFormat="1" spans="1:15">
      <c r="A1485">
        <v>2062</v>
      </c>
      <c r="B1485" t="s">
        <v>2205</v>
      </c>
      <c r="C1485" t="str">
        <f>"469002200204190524"</f>
        <v>469002200204190524</v>
      </c>
      <c r="D1485" t="str">
        <f>"248030302501"</f>
        <v>248030302501</v>
      </c>
      <c r="L1485">
        <v>2062</v>
      </c>
      <c r="M1485" t="s">
        <v>2205</v>
      </c>
      <c r="N1485" t="str">
        <f>"248030302501"</f>
        <v>248030302501</v>
      </c>
      <c r="O1485" t="str">
        <f>"469002200204190524"</f>
        <v>469002200204190524</v>
      </c>
    </row>
    <row r="1486" customFormat="1" spans="1:15">
      <c r="A1486">
        <v>2063</v>
      </c>
      <c r="B1486" t="s">
        <v>2206</v>
      </c>
      <c r="C1486" t="str">
        <f>"460200199610042724"</f>
        <v>460200199610042724</v>
      </c>
      <c r="D1486" t="str">
        <f>"248030100806"</f>
        <v>248030100806</v>
      </c>
      <c r="L1486">
        <v>2063</v>
      </c>
      <c r="M1486" t="s">
        <v>2206</v>
      </c>
      <c r="N1486" t="str">
        <f>"248030100806"</f>
        <v>248030100806</v>
      </c>
      <c r="O1486" t="str">
        <f>"460200199610042724"</f>
        <v>460200199610042724</v>
      </c>
    </row>
    <row r="1487" customFormat="1" spans="1:15">
      <c r="A1487">
        <v>2064</v>
      </c>
      <c r="B1487" t="s">
        <v>2207</v>
      </c>
      <c r="C1487" t="str">
        <f>"460002200108233645"</f>
        <v>460002200108233645</v>
      </c>
      <c r="D1487" t="str">
        <f>"248030202528"</f>
        <v>248030202528</v>
      </c>
      <c r="L1487">
        <v>2064</v>
      </c>
      <c r="M1487" t="s">
        <v>2207</v>
      </c>
      <c r="N1487" t="str">
        <f>"248030202528"</f>
        <v>248030202528</v>
      </c>
      <c r="O1487" t="str">
        <f>"460002200108233645"</f>
        <v>460002200108233645</v>
      </c>
    </row>
    <row r="1488" customFormat="1" spans="1:15">
      <c r="A1488">
        <v>2065</v>
      </c>
      <c r="B1488" t="s">
        <v>2208</v>
      </c>
      <c r="C1488" t="str">
        <f>"460028199508045625"</f>
        <v>460028199508045625</v>
      </c>
      <c r="D1488" t="str">
        <f>"248030402808"</f>
        <v>248030402808</v>
      </c>
      <c r="L1488">
        <v>2065</v>
      </c>
      <c r="M1488" t="s">
        <v>2208</v>
      </c>
      <c r="N1488" t="str">
        <f>"248030402808"</f>
        <v>248030402808</v>
      </c>
      <c r="O1488" t="str">
        <f>"460028199508045625"</f>
        <v>460028199508045625</v>
      </c>
    </row>
    <row r="1489" customFormat="1" spans="1:15">
      <c r="A1489">
        <v>2067</v>
      </c>
      <c r="B1489" t="s">
        <v>2209</v>
      </c>
      <c r="C1489" t="str">
        <f>"460003199901175429"</f>
        <v>460003199901175429</v>
      </c>
      <c r="L1489">
        <v>2067</v>
      </c>
      <c r="M1489" t="s">
        <v>2209</v>
      </c>
      <c r="O1489" t="str">
        <f>"460003199901175429"</f>
        <v>460003199901175429</v>
      </c>
    </row>
    <row r="1490" customFormat="1" spans="1:15">
      <c r="A1490">
        <v>2069</v>
      </c>
      <c r="B1490" t="s">
        <v>2210</v>
      </c>
      <c r="C1490" t="str">
        <f>"460033199802061483"</f>
        <v>460033199802061483</v>
      </c>
      <c r="D1490" t="str">
        <f>"248030400223"</f>
        <v>248030400223</v>
      </c>
      <c r="L1490">
        <v>2069</v>
      </c>
      <c r="M1490" t="s">
        <v>2210</v>
      </c>
      <c r="N1490" t="str">
        <f>"248030400223"</f>
        <v>248030400223</v>
      </c>
      <c r="O1490" t="str">
        <f>"460033199802061483"</f>
        <v>460033199802061483</v>
      </c>
    </row>
    <row r="1491" customFormat="1" spans="1:15">
      <c r="A1491">
        <v>2070</v>
      </c>
      <c r="B1491" t="s">
        <v>2211</v>
      </c>
      <c r="C1491" t="str">
        <f>"460006200011061627"</f>
        <v>460006200011061627</v>
      </c>
      <c r="D1491" t="str">
        <f>"248030403519"</f>
        <v>248030403519</v>
      </c>
      <c r="L1491">
        <v>2070</v>
      </c>
      <c r="M1491" t="s">
        <v>2211</v>
      </c>
      <c r="N1491" t="str">
        <f>"248030403519"</f>
        <v>248030403519</v>
      </c>
      <c r="O1491" t="str">
        <f>"460006200011061627"</f>
        <v>460006200011061627</v>
      </c>
    </row>
    <row r="1492" customFormat="1" spans="1:15">
      <c r="A1492">
        <v>2071</v>
      </c>
      <c r="B1492" t="s">
        <v>2212</v>
      </c>
      <c r="C1492" t="str">
        <f>"440825200106072352"</f>
        <v>440825200106072352</v>
      </c>
      <c r="D1492" t="str">
        <f>"248030201226"</f>
        <v>248030201226</v>
      </c>
      <c r="L1492">
        <v>2071</v>
      </c>
      <c r="M1492" t="s">
        <v>2212</v>
      </c>
      <c r="N1492" t="str">
        <f>"248030201226"</f>
        <v>248030201226</v>
      </c>
      <c r="O1492" t="str">
        <f>"440825200106072352"</f>
        <v>440825200106072352</v>
      </c>
    </row>
    <row r="1493" customFormat="1" spans="1:15">
      <c r="A1493">
        <v>2072</v>
      </c>
      <c r="B1493" t="s">
        <v>2213</v>
      </c>
      <c r="C1493" t="str">
        <f>"46902320010730662X"</f>
        <v>46902320010730662X</v>
      </c>
      <c r="D1493" t="str">
        <f>"248030202501"</f>
        <v>248030202501</v>
      </c>
      <c r="L1493">
        <v>2072</v>
      </c>
      <c r="M1493" t="s">
        <v>2213</v>
      </c>
      <c r="N1493" t="str">
        <f>"248030202501"</f>
        <v>248030202501</v>
      </c>
      <c r="O1493" t="str">
        <f>"46902320010730662X"</f>
        <v>46902320010730662X</v>
      </c>
    </row>
    <row r="1494" customFormat="1" spans="1:15">
      <c r="A1494">
        <v>2073</v>
      </c>
      <c r="B1494" t="s">
        <v>2214</v>
      </c>
      <c r="C1494" t="str">
        <f>"460003198908082423"</f>
        <v>460003198908082423</v>
      </c>
      <c r="D1494" t="str">
        <f>"248030400813"</f>
        <v>248030400813</v>
      </c>
      <c r="L1494">
        <v>2073</v>
      </c>
      <c r="M1494" t="s">
        <v>2214</v>
      </c>
      <c r="N1494" t="str">
        <f>"248030400813"</f>
        <v>248030400813</v>
      </c>
      <c r="O1494" t="str">
        <f>"460003198908082423"</f>
        <v>460003198908082423</v>
      </c>
    </row>
    <row r="1495" customFormat="1" spans="1:15">
      <c r="A1495">
        <v>2074</v>
      </c>
      <c r="B1495" t="s">
        <v>2215</v>
      </c>
      <c r="C1495" t="str">
        <f>"460002199405102021"</f>
        <v>460002199405102021</v>
      </c>
      <c r="L1495">
        <v>2074</v>
      </c>
      <c r="M1495" t="s">
        <v>2215</v>
      </c>
      <c r="O1495" t="str">
        <f>"460002199405102021"</f>
        <v>460002199405102021</v>
      </c>
    </row>
    <row r="1496" customFormat="1" spans="1:15">
      <c r="A1496">
        <v>2077</v>
      </c>
      <c r="B1496" t="s">
        <v>2216</v>
      </c>
      <c r="C1496" t="str">
        <f>"460006199408292946"</f>
        <v>460006199408292946</v>
      </c>
      <c r="L1496">
        <v>2077</v>
      </c>
      <c r="M1496" t="s">
        <v>2216</v>
      </c>
      <c r="O1496" t="str">
        <f>"460006199408292946"</f>
        <v>460006199408292946</v>
      </c>
    </row>
    <row r="1497" customFormat="1" spans="1:15">
      <c r="A1497">
        <v>2078</v>
      </c>
      <c r="B1497" t="s">
        <v>2217</v>
      </c>
      <c r="C1497" t="str">
        <f>"460033200001106309"</f>
        <v>460033200001106309</v>
      </c>
      <c r="D1497" t="str">
        <f>"248030504016"</f>
        <v>248030504016</v>
      </c>
      <c r="L1497">
        <v>2078</v>
      </c>
      <c r="M1497" t="s">
        <v>2217</v>
      </c>
      <c r="N1497" t="str">
        <f>"248030504016"</f>
        <v>248030504016</v>
      </c>
      <c r="O1497" t="str">
        <f>"460033200001106309"</f>
        <v>460033200001106309</v>
      </c>
    </row>
    <row r="1498" customFormat="1" spans="1:15">
      <c r="A1498">
        <v>2079</v>
      </c>
      <c r="B1498" t="s">
        <v>2218</v>
      </c>
      <c r="C1498" t="str">
        <f>"440801200201090611"</f>
        <v>440801200201090611</v>
      </c>
      <c r="D1498" t="str">
        <f>"248030202301"</f>
        <v>248030202301</v>
      </c>
      <c r="L1498">
        <v>2079</v>
      </c>
      <c r="M1498" t="s">
        <v>2218</v>
      </c>
      <c r="N1498" t="str">
        <f>"248030202301"</f>
        <v>248030202301</v>
      </c>
      <c r="O1498" t="str">
        <f>"440801200201090611"</f>
        <v>440801200201090611</v>
      </c>
    </row>
    <row r="1499" customFormat="1" spans="1:15">
      <c r="A1499">
        <v>2080</v>
      </c>
      <c r="B1499" t="s">
        <v>2219</v>
      </c>
      <c r="C1499" t="str">
        <f>"460102199908151517"</f>
        <v>460102199908151517</v>
      </c>
      <c r="D1499" t="str">
        <f>"248030104608"</f>
        <v>248030104608</v>
      </c>
      <c r="L1499">
        <v>2080</v>
      </c>
      <c r="M1499" t="s">
        <v>2219</v>
      </c>
      <c r="N1499" t="str">
        <f>"248030104608"</f>
        <v>248030104608</v>
      </c>
      <c r="O1499" t="str">
        <f>"460102199908151517"</f>
        <v>460102199908151517</v>
      </c>
    </row>
    <row r="1500" customFormat="1" spans="1:15">
      <c r="A1500">
        <v>2081</v>
      </c>
      <c r="B1500" t="s">
        <v>2220</v>
      </c>
      <c r="C1500" t="str">
        <f>"411023200107066025"</f>
        <v>411023200107066025</v>
      </c>
      <c r="D1500" t="str">
        <f>"248030301916"</f>
        <v>248030301916</v>
      </c>
      <c r="L1500">
        <v>2081</v>
      </c>
      <c r="M1500" t="s">
        <v>2220</v>
      </c>
      <c r="N1500" t="str">
        <f>"248030301916"</f>
        <v>248030301916</v>
      </c>
      <c r="O1500" t="str">
        <f>"411023200107066025"</f>
        <v>411023200107066025</v>
      </c>
    </row>
    <row r="1501" customFormat="1" spans="1:15">
      <c r="A1501">
        <v>2082</v>
      </c>
      <c r="B1501" t="s">
        <v>2221</v>
      </c>
      <c r="C1501" t="str">
        <f>"152823200103030544"</f>
        <v>152823200103030544</v>
      </c>
      <c r="D1501" t="str">
        <f>"248030203411"</f>
        <v>248030203411</v>
      </c>
      <c r="L1501">
        <v>2082</v>
      </c>
      <c r="M1501" t="s">
        <v>2221</v>
      </c>
      <c r="N1501" t="str">
        <f>"248030203411"</f>
        <v>248030203411</v>
      </c>
      <c r="O1501" t="str">
        <f>"152823200103030544"</f>
        <v>152823200103030544</v>
      </c>
    </row>
    <row r="1502" customFormat="1" spans="1:15">
      <c r="A1502">
        <v>2083</v>
      </c>
      <c r="B1502" t="s">
        <v>2222</v>
      </c>
      <c r="C1502" t="str">
        <f>"46900319990714842X"</f>
        <v>46900319990714842X</v>
      </c>
      <c r="D1502" t="str">
        <f>"248030302027"</f>
        <v>248030302027</v>
      </c>
      <c r="L1502">
        <v>2083</v>
      </c>
      <c r="M1502" t="s">
        <v>2222</v>
      </c>
      <c r="N1502" t="str">
        <f>"248030302027"</f>
        <v>248030302027</v>
      </c>
      <c r="O1502" t="str">
        <f>"46900319990714842X"</f>
        <v>46900319990714842X</v>
      </c>
    </row>
    <row r="1503" customFormat="1" spans="1:15">
      <c r="A1503">
        <v>2084</v>
      </c>
      <c r="B1503" t="s">
        <v>2223</v>
      </c>
      <c r="C1503" t="str">
        <f>"460031200201124824"</f>
        <v>460031200201124824</v>
      </c>
      <c r="D1503" t="str">
        <f>"248030503722"</f>
        <v>248030503722</v>
      </c>
      <c r="L1503">
        <v>2084</v>
      </c>
      <c r="M1503" t="s">
        <v>2223</v>
      </c>
      <c r="N1503" t="str">
        <f>"248030503722"</f>
        <v>248030503722</v>
      </c>
      <c r="O1503" t="str">
        <f>"460031200201124824"</f>
        <v>460031200201124824</v>
      </c>
    </row>
    <row r="1504" customFormat="1" spans="1:15">
      <c r="A1504">
        <v>2085</v>
      </c>
      <c r="B1504" t="s">
        <v>2224</v>
      </c>
      <c r="C1504" t="str">
        <f>"522427199003213893"</f>
        <v>522427199003213893</v>
      </c>
      <c r="L1504">
        <v>2085</v>
      </c>
      <c r="M1504" t="s">
        <v>2224</v>
      </c>
      <c r="O1504" t="str">
        <f>"522427199003213893"</f>
        <v>522427199003213893</v>
      </c>
    </row>
    <row r="1505" customFormat="1" spans="1:15">
      <c r="A1505">
        <v>2087</v>
      </c>
      <c r="B1505" t="s">
        <v>2225</v>
      </c>
      <c r="C1505" t="str">
        <f>"350582198903153541"</f>
        <v>350582198903153541</v>
      </c>
      <c r="L1505">
        <v>2087</v>
      </c>
      <c r="M1505" t="s">
        <v>2225</v>
      </c>
      <c r="O1505" t="str">
        <f>"350582198903153541"</f>
        <v>350582198903153541</v>
      </c>
    </row>
    <row r="1506" customFormat="1" spans="1:15">
      <c r="A1506">
        <v>2088</v>
      </c>
      <c r="B1506" t="s">
        <v>2226</v>
      </c>
      <c r="C1506" t="str">
        <f>"460102199603060622"</f>
        <v>460102199603060622</v>
      </c>
      <c r="L1506">
        <v>2088</v>
      </c>
      <c r="M1506" t="s">
        <v>2226</v>
      </c>
      <c r="O1506" t="str">
        <f>"460102199603060622"</f>
        <v>460102199603060622</v>
      </c>
    </row>
    <row r="1507" customFormat="1" spans="1:15">
      <c r="A1507">
        <v>2089</v>
      </c>
      <c r="B1507" t="s">
        <v>2227</v>
      </c>
      <c r="C1507" t="str">
        <f>"460003199509143449"</f>
        <v>460003199509143449</v>
      </c>
      <c r="D1507" t="str">
        <f>"248030400103"</f>
        <v>248030400103</v>
      </c>
      <c r="L1507">
        <v>2089</v>
      </c>
      <c r="M1507" t="s">
        <v>2227</v>
      </c>
      <c r="N1507" t="str">
        <f>"248030400103"</f>
        <v>248030400103</v>
      </c>
      <c r="O1507" t="str">
        <f>"460003199509143449"</f>
        <v>460003199509143449</v>
      </c>
    </row>
    <row r="1508" customFormat="1" spans="1:15">
      <c r="A1508">
        <v>2090</v>
      </c>
      <c r="B1508" t="s">
        <v>2228</v>
      </c>
      <c r="C1508" t="str">
        <f>"46902519981110392X"</f>
        <v>46902519981110392X</v>
      </c>
      <c r="D1508" t="str">
        <f>"248030102816"</f>
        <v>248030102816</v>
      </c>
      <c r="L1508">
        <v>2090</v>
      </c>
      <c r="M1508" t="s">
        <v>2228</v>
      </c>
      <c r="N1508" t="str">
        <f>"248030102816"</f>
        <v>248030102816</v>
      </c>
      <c r="O1508" t="str">
        <f>"46902519981110392X"</f>
        <v>46902519981110392X</v>
      </c>
    </row>
    <row r="1509" customFormat="1" spans="1:15">
      <c r="A1509">
        <v>2091</v>
      </c>
      <c r="B1509" t="s">
        <v>2229</v>
      </c>
      <c r="C1509" t="str">
        <f>"230422199001180028"</f>
        <v>230422199001180028</v>
      </c>
      <c r="D1509" t="str">
        <f>"248030501813"</f>
        <v>248030501813</v>
      </c>
      <c r="L1509">
        <v>2091</v>
      </c>
      <c r="M1509" t="s">
        <v>2229</v>
      </c>
      <c r="N1509" t="str">
        <f>"248030501813"</f>
        <v>248030501813</v>
      </c>
      <c r="O1509" t="str">
        <f>"230422199001180028"</f>
        <v>230422199001180028</v>
      </c>
    </row>
    <row r="1510" customFormat="1" spans="1:15">
      <c r="A1510">
        <v>2092</v>
      </c>
      <c r="B1510" t="s">
        <v>2230</v>
      </c>
      <c r="C1510" t="str">
        <f>"460006199512077840"</f>
        <v>460006199512077840</v>
      </c>
      <c r="D1510" t="str">
        <f>"248030100308"</f>
        <v>248030100308</v>
      </c>
      <c r="L1510">
        <v>2092</v>
      </c>
      <c r="M1510" t="s">
        <v>2230</v>
      </c>
      <c r="N1510" t="str">
        <f>"248030100308"</f>
        <v>248030100308</v>
      </c>
      <c r="O1510" t="str">
        <f>"460006199512077840"</f>
        <v>460006199512077840</v>
      </c>
    </row>
    <row r="1511" customFormat="1" spans="1:15">
      <c r="A1511">
        <v>2093</v>
      </c>
      <c r="B1511" t="s">
        <v>2231</v>
      </c>
      <c r="C1511" t="str">
        <f>"46000319970530262X"</f>
        <v>46000319970530262X</v>
      </c>
      <c r="D1511" t="str">
        <f>"248030301328"</f>
        <v>248030301328</v>
      </c>
      <c r="L1511">
        <v>2093</v>
      </c>
      <c r="M1511" t="s">
        <v>2231</v>
      </c>
      <c r="N1511" t="str">
        <f>"248030301328"</f>
        <v>248030301328</v>
      </c>
      <c r="O1511" t="str">
        <f>"46000319970530262X"</f>
        <v>46000319970530262X</v>
      </c>
    </row>
    <row r="1512" customFormat="1" spans="1:15">
      <c r="A1512">
        <v>2096</v>
      </c>
      <c r="B1512" t="s">
        <v>2232</v>
      </c>
      <c r="C1512" t="str">
        <f>"469024199908070427"</f>
        <v>469024199908070427</v>
      </c>
      <c r="D1512" t="str">
        <f>"248030101409"</f>
        <v>248030101409</v>
      </c>
      <c r="L1512">
        <v>2096</v>
      </c>
      <c r="M1512" t="s">
        <v>2232</v>
      </c>
      <c r="N1512" t="str">
        <f>"248030101409"</f>
        <v>248030101409</v>
      </c>
      <c r="O1512" t="str">
        <f>"469024199908070427"</f>
        <v>469024199908070427</v>
      </c>
    </row>
    <row r="1513" customFormat="1" spans="1:15">
      <c r="A1513">
        <v>2097</v>
      </c>
      <c r="B1513" t="s">
        <v>2233</v>
      </c>
      <c r="C1513" t="str">
        <f>"460005199410133243"</f>
        <v>460005199410133243</v>
      </c>
      <c r="L1513">
        <v>2097</v>
      </c>
      <c r="M1513" t="s">
        <v>2233</v>
      </c>
      <c r="O1513" t="str">
        <f>"460005199410133243"</f>
        <v>460005199410133243</v>
      </c>
    </row>
    <row r="1514" customFormat="1" spans="1:15">
      <c r="A1514">
        <v>2099</v>
      </c>
      <c r="B1514" t="s">
        <v>2234</v>
      </c>
      <c r="C1514" t="str">
        <f>"460033199310224848"</f>
        <v>460033199310224848</v>
      </c>
      <c r="L1514">
        <v>2099</v>
      </c>
      <c r="M1514" t="s">
        <v>2234</v>
      </c>
      <c r="O1514" t="str">
        <f>"460033199310224848"</f>
        <v>460033199310224848</v>
      </c>
    </row>
    <row r="1515" customFormat="1" spans="1:15">
      <c r="A1515">
        <v>2101</v>
      </c>
      <c r="B1515" t="s">
        <v>2235</v>
      </c>
      <c r="C1515" t="str">
        <f>"460104199612050023"</f>
        <v>460104199612050023</v>
      </c>
      <c r="L1515">
        <v>2101</v>
      </c>
      <c r="M1515" t="s">
        <v>2235</v>
      </c>
      <c r="O1515" t="str">
        <f>"460104199612050023"</f>
        <v>460104199612050023</v>
      </c>
    </row>
    <row r="1516" customFormat="1" spans="1:15">
      <c r="A1516">
        <v>2102</v>
      </c>
      <c r="B1516" t="s">
        <v>2236</v>
      </c>
      <c r="C1516" t="str">
        <f>"411122200101288048"</f>
        <v>411122200101288048</v>
      </c>
      <c r="D1516" t="str">
        <f>"248030500529"</f>
        <v>248030500529</v>
      </c>
      <c r="L1516">
        <v>2102</v>
      </c>
      <c r="M1516" t="s">
        <v>2236</v>
      </c>
      <c r="N1516" t="str">
        <f>"248030500529"</f>
        <v>248030500529</v>
      </c>
      <c r="O1516" t="str">
        <f>"411122200101288048"</f>
        <v>411122200101288048</v>
      </c>
    </row>
    <row r="1517" customFormat="1" spans="1:15">
      <c r="A1517">
        <v>2105</v>
      </c>
      <c r="B1517" t="s">
        <v>2237</v>
      </c>
      <c r="C1517" t="str">
        <f>"460004199508043020"</f>
        <v>460004199508043020</v>
      </c>
      <c r="D1517" t="str">
        <f>"248030302404"</f>
        <v>248030302404</v>
      </c>
      <c r="L1517">
        <v>2105</v>
      </c>
      <c r="M1517" t="s">
        <v>2237</v>
      </c>
      <c r="N1517" t="str">
        <f>"248030302404"</f>
        <v>248030302404</v>
      </c>
      <c r="O1517" t="str">
        <f>"460004199508043020"</f>
        <v>460004199508043020</v>
      </c>
    </row>
    <row r="1518" customFormat="1" spans="1:15">
      <c r="A1518">
        <v>2106</v>
      </c>
      <c r="B1518" t="s">
        <v>825</v>
      </c>
      <c r="C1518" t="str">
        <f>"460025199005031521"</f>
        <v>460025199005031521</v>
      </c>
      <c r="D1518" t="str">
        <f>"248030403930"</f>
        <v>248030403930</v>
      </c>
      <c r="L1518">
        <v>2106</v>
      </c>
      <c r="M1518" t="s">
        <v>825</v>
      </c>
      <c r="N1518" t="str">
        <f>"248030403930"</f>
        <v>248030403930</v>
      </c>
      <c r="O1518" t="str">
        <f>"460025199005031521"</f>
        <v>460025199005031521</v>
      </c>
    </row>
    <row r="1519" customFormat="1" spans="1:15">
      <c r="A1519">
        <v>2107</v>
      </c>
      <c r="B1519" t="s">
        <v>2238</v>
      </c>
      <c r="C1519" t="str">
        <f>"460028199908060015"</f>
        <v>460028199908060015</v>
      </c>
      <c r="D1519" t="str">
        <f>"248030202324"</f>
        <v>248030202324</v>
      </c>
      <c r="L1519">
        <v>2107</v>
      </c>
      <c r="M1519" t="s">
        <v>2238</v>
      </c>
      <c r="N1519" t="str">
        <f>"248030202324"</f>
        <v>248030202324</v>
      </c>
      <c r="O1519" t="str">
        <f>"460028199908060015"</f>
        <v>460028199908060015</v>
      </c>
    </row>
    <row r="1520" customFormat="1" spans="1:15">
      <c r="A1520">
        <v>2108</v>
      </c>
      <c r="B1520" t="s">
        <v>2239</v>
      </c>
      <c r="C1520" t="str">
        <f>"460004199903135224"</f>
        <v>460004199903135224</v>
      </c>
      <c r="D1520" t="str">
        <f>"248030404214"</f>
        <v>248030404214</v>
      </c>
      <c r="L1520">
        <v>2108</v>
      </c>
      <c r="M1520" t="s">
        <v>2239</v>
      </c>
      <c r="N1520" t="str">
        <f>"248030404214"</f>
        <v>248030404214</v>
      </c>
      <c r="O1520" t="str">
        <f>"460004199903135224"</f>
        <v>460004199903135224</v>
      </c>
    </row>
    <row r="1521" customFormat="1" spans="1:15">
      <c r="A1521">
        <v>2109</v>
      </c>
      <c r="B1521" t="s">
        <v>2240</v>
      </c>
      <c r="C1521" t="str">
        <f>"46003119990608082X"</f>
        <v>46003119990608082X</v>
      </c>
      <c r="D1521" t="str">
        <f>"248030400709"</f>
        <v>248030400709</v>
      </c>
      <c r="L1521">
        <v>2109</v>
      </c>
      <c r="M1521" t="s">
        <v>2240</v>
      </c>
      <c r="N1521" t="str">
        <f>"248030400709"</f>
        <v>248030400709</v>
      </c>
      <c r="O1521" t="str">
        <f>"46003119990608082X"</f>
        <v>46003119990608082X</v>
      </c>
    </row>
    <row r="1522" customFormat="1" spans="1:15">
      <c r="A1522">
        <v>2110</v>
      </c>
      <c r="B1522" t="s">
        <v>2241</v>
      </c>
      <c r="C1522" t="str">
        <f>"460003199405252026"</f>
        <v>460003199405252026</v>
      </c>
      <c r="D1522" t="str">
        <f>"248030200615"</f>
        <v>248030200615</v>
      </c>
      <c r="L1522">
        <v>2110</v>
      </c>
      <c r="M1522" t="s">
        <v>2241</v>
      </c>
      <c r="N1522" t="str">
        <f>"248030200615"</f>
        <v>248030200615</v>
      </c>
      <c r="O1522" t="str">
        <f>"460003199405252026"</f>
        <v>460003199405252026</v>
      </c>
    </row>
    <row r="1523" customFormat="1" spans="1:15">
      <c r="A1523">
        <v>2111</v>
      </c>
      <c r="B1523" t="s">
        <v>2242</v>
      </c>
      <c r="C1523" t="str">
        <f>"460028199512200026"</f>
        <v>460028199512200026</v>
      </c>
      <c r="D1523" t="str">
        <f>"248030402207"</f>
        <v>248030402207</v>
      </c>
      <c r="L1523">
        <v>2111</v>
      </c>
      <c r="M1523" t="s">
        <v>2242</v>
      </c>
      <c r="N1523" t="str">
        <f>"248030402207"</f>
        <v>248030402207</v>
      </c>
      <c r="O1523" t="str">
        <f>"460028199512200026"</f>
        <v>460028199512200026</v>
      </c>
    </row>
    <row r="1524" customFormat="1" spans="1:15">
      <c r="A1524">
        <v>2112</v>
      </c>
      <c r="B1524" t="s">
        <v>1205</v>
      </c>
      <c r="C1524" t="str">
        <f>"412724199210237507"</f>
        <v>412724199210237507</v>
      </c>
      <c r="D1524" t="str">
        <f>"248030404202"</f>
        <v>248030404202</v>
      </c>
      <c r="L1524">
        <v>2112</v>
      </c>
      <c r="M1524" t="s">
        <v>1205</v>
      </c>
      <c r="N1524" t="str">
        <f>"248030404202"</f>
        <v>248030404202</v>
      </c>
      <c r="O1524" t="str">
        <f>"412724199210237507"</f>
        <v>412724199210237507</v>
      </c>
    </row>
    <row r="1525" customFormat="1" spans="1:15">
      <c r="A1525">
        <v>2114</v>
      </c>
      <c r="B1525" t="s">
        <v>2243</v>
      </c>
      <c r="C1525" t="str">
        <f>"460003199809094220"</f>
        <v>460003199809094220</v>
      </c>
      <c r="D1525" t="str">
        <f>"248030200820"</f>
        <v>248030200820</v>
      </c>
      <c r="L1525">
        <v>2114</v>
      </c>
      <c r="M1525" t="s">
        <v>2243</v>
      </c>
      <c r="N1525" t="str">
        <f>"248030200820"</f>
        <v>248030200820</v>
      </c>
      <c r="O1525" t="str">
        <f>"460003199809094220"</f>
        <v>460003199809094220</v>
      </c>
    </row>
    <row r="1526" customFormat="1" spans="1:15">
      <c r="A1526">
        <v>2115</v>
      </c>
      <c r="B1526" t="s">
        <v>2244</v>
      </c>
      <c r="C1526" t="str">
        <f>"46000420010112262X"</f>
        <v>46000420010112262X</v>
      </c>
      <c r="L1526">
        <v>2115</v>
      </c>
      <c r="M1526" t="s">
        <v>2244</v>
      </c>
      <c r="O1526" t="str">
        <f>"46000420010112262X"</f>
        <v>46000420010112262X</v>
      </c>
    </row>
    <row r="1527" customFormat="1" spans="1:15">
      <c r="A1527">
        <v>2116</v>
      </c>
      <c r="B1527" t="s">
        <v>2245</v>
      </c>
      <c r="C1527" t="str">
        <f>"511623200201175400"</f>
        <v>511623200201175400</v>
      </c>
      <c r="D1527" t="str">
        <f>"248030100930"</f>
        <v>248030100930</v>
      </c>
      <c r="L1527">
        <v>2116</v>
      </c>
      <c r="M1527" t="s">
        <v>2245</v>
      </c>
      <c r="N1527" t="str">
        <f>"248030100930"</f>
        <v>248030100930</v>
      </c>
      <c r="O1527" t="str">
        <f>"511623200201175400"</f>
        <v>511623200201175400</v>
      </c>
    </row>
    <row r="1528" customFormat="1" spans="1:15">
      <c r="A1528">
        <v>2117</v>
      </c>
      <c r="B1528" t="s">
        <v>2246</v>
      </c>
      <c r="C1528" t="str">
        <f>"46010419960122004X"</f>
        <v>46010419960122004X</v>
      </c>
      <c r="D1528" t="str">
        <f>"248030100625"</f>
        <v>248030100625</v>
      </c>
      <c r="L1528">
        <v>2117</v>
      </c>
      <c r="M1528" t="s">
        <v>2246</v>
      </c>
      <c r="N1528" t="str">
        <f>"248030100625"</f>
        <v>248030100625</v>
      </c>
      <c r="O1528" t="str">
        <f>"46010419960122004X"</f>
        <v>46010419960122004X</v>
      </c>
    </row>
    <row r="1529" customFormat="1" spans="1:15">
      <c r="A1529">
        <v>2120</v>
      </c>
      <c r="B1529" t="s">
        <v>2247</v>
      </c>
      <c r="C1529" t="str">
        <f>"460027199705166622"</f>
        <v>460027199705166622</v>
      </c>
      <c r="L1529">
        <v>2120</v>
      </c>
      <c r="M1529" t="s">
        <v>2247</v>
      </c>
      <c r="O1529" t="str">
        <f>"460027199705166622"</f>
        <v>460027199705166622</v>
      </c>
    </row>
    <row r="1530" customFormat="1" spans="1:15">
      <c r="A1530">
        <v>2121</v>
      </c>
      <c r="B1530" t="s">
        <v>2248</v>
      </c>
      <c r="C1530" t="str">
        <f>"460003200107164226"</f>
        <v>460003200107164226</v>
      </c>
      <c r="D1530" t="str">
        <f>"248030102908"</f>
        <v>248030102908</v>
      </c>
      <c r="L1530">
        <v>2121</v>
      </c>
      <c r="M1530" t="s">
        <v>2248</v>
      </c>
      <c r="N1530" t="str">
        <f>"248030102908"</f>
        <v>248030102908</v>
      </c>
      <c r="O1530" t="str">
        <f>"460003200107164226"</f>
        <v>460003200107164226</v>
      </c>
    </row>
    <row r="1531" customFormat="1" spans="1:15">
      <c r="A1531">
        <v>2123</v>
      </c>
      <c r="B1531" t="s">
        <v>2249</v>
      </c>
      <c r="C1531" t="str">
        <f>"460004199001020858"</f>
        <v>460004199001020858</v>
      </c>
      <c r="D1531" t="str">
        <f>"248030202306"</f>
        <v>248030202306</v>
      </c>
      <c r="L1531">
        <v>2123</v>
      </c>
      <c r="M1531" t="s">
        <v>2249</v>
      </c>
      <c r="N1531" t="str">
        <f>"248030202306"</f>
        <v>248030202306</v>
      </c>
      <c r="O1531" t="str">
        <f>"460004199001020858"</f>
        <v>460004199001020858</v>
      </c>
    </row>
    <row r="1532" customFormat="1" spans="1:15">
      <c r="A1532">
        <v>2124</v>
      </c>
      <c r="B1532" t="s">
        <v>2250</v>
      </c>
      <c r="C1532" t="str">
        <f>"46003419991208093X"</f>
        <v>46003419991208093X</v>
      </c>
      <c r="D1532" t="str">
        <f>"248030203811"</f>
        <v>248030203811</v>
      </c>
      <c r="L1532">
        <v>2124</v>
      </c>
      <c r="M1532" t="s">
        <v>2250</v>
      </c>
      <c r="N1532" t="str">
        <f>"248030203811"</f>
        <v>248030203811</v>
      </c>
      <c r="O1532" t="str">
        <f>"46003419991208093X"</f>
        <v>46003419991208093X</v>
      </c>
    </row>
    <row r="1533" customFormat="1" spans="1:15">
      <c r="A1533">
        <v>2125</v>
      </c>
      <c r="B1533" t="s">
        <v>759</v>
      </c>
      <c r="C1533" t="str">
        <f>"460025199104102751"</f>
        <v>460025199104102751</v>
      </c>
      <c r="D1533" t="str">
        <f>"248030201004"</f>
        <v>248030201004</v>
      </c>
      <c r="L1533">
        <v>2125</v>
      </c>
      <c r="M1533" t="s">
        <v>759</v>
      </c>
      <c r="N1533" t="str">
        <f>"248030201004"</f>
        <v>248030201004</v>
      </c>
      <c r="O1533" t="str">
        <f>"460025199104102751"</f>
        <v>460025199104102751</v>
      </c>
    </row>
    <row r="1534" customFormat="1" spans="1:15">
      <c r="A1534">
        <v>2126</v>
      </c>
      <c r="B1534" t="s">
        <v>2251</v>
      </c>
      <c r="C1534" t="str">
        <f>"460035199108180223"</f>
        <v>460035199108180223</v>
      </c>
      <c r="D1534" t="str">
        <f>"248030104118"</f>
        <v>248030104118</v>
      </c>
      <c r="L1534">
        <v>2126</v>
      </c>
      <c r="M1534" t="s">
        <v>2251</v>
      </c>
      <c r="N1534" t="str">
        <f>"248030104118"</f>
        <v>248030104118</v>
      </c>
      <c r="O1534" t="str">
        <f>"460035199108180223"</f>
        <v>460035199108180223</v>
      </c>
    </row>
    <row r="1535" customFormat="1" spans="1:15">
      <c r="A1535">
        <v>2127</v>
      </c>
      <c r="B1535" t="s">
        <v>2252</v>
      </c>
      <c r="C1535" t="str">
        <f>"469027199912284806"</f>
        <v>469027199912284806</v>
      </c>
      <c r="D1535" t="str">
        <f>"248030500804"</f>
        <v>248030500804</v>
      </c>
      <c r="L1535">
        <v>2127</v>
      </c>
      <c r="M1535" t="s">
        <v>2252</v>
      </c>
      <c r="N1535" t="str">
        <f>"248030500804"</f>
        <v>248030500804</v>
      </c>
      <c r="O1535" t="str">
        <f>"469027199912284806"</f>
        <v>469027199912284806</v>
      </c>
    </row>
    <row r="1536" customFormat="1" spans="1:15">
      <c r="A1536">
        <v>2128</v>
      </c>
      <c r="B1536" t="s">
        <v>2253</v>
      </c>
      <c r="C1536" t="str">
        <f>"460004200107162622"</f>
        <v>460004200107162622</v>
      </c>
      <c r="D1536" t="str">
        <f>"248030504019"</f>
        <v>248030504019</v>
      </c>
      <c r="L1536">
        <v>2128</v>
      </c>
      <c r="M1536" t="s">
        <v>2253</v>
      </c>
      <c r="N1536" t="str">
        <f>"248030504019"</f>
        <v>248030504019</v>
      </c>
      <c r="O1536" t="str">
        <f>"460004200107162622"</f>
        <v>460004200107162622</v>
      </c>
    </row>
    <row r="1537" customFormat="1" spans="1:15">
      <c r="A1537">
        <v>2129</v>
      </c>
      <c r="B1537" t="s">
        <v>2254</v>
      </c>
      <c r="C1537" t="str">
        <f>"469002200110306426"</f>
        <v>469002200110306426</v>
      </c>
      <c r="D1537" t="str">
        <f>"248030300512"</f>
        <v>248030300512</v>
      </c>
      <c r="L1537">
        <v>2129</v>
      </c>
      <c r="M1537" t="s">
        <v>2254</v>
      </c>
      <c r="N1537" t="str">
        <f>"248030300512"</f>
        <v>248030300512</v>
      </c>
      <c r="O1537" t="str">
        <f>"469002200110306426"</f>
        <v>469002200110306426</v>
      </c>
    </row>
    <row r="1538" customFormat="1" spans="1:15">
      <c r="A1538">
        <v>2130</v>
      </c>
      <c r="B1538" t="s">
        <v>2255</v>
      </c>
      <c r="C1538" t="str">
        <f>"460026199910200328"</f>
        <v>460026199910200328</v>
      </c>
      <c r="D1538" t="str">
        <f>"248030104624"</f>
        <v>248030104624</v>
      </c>
      <c r="L1538">
        <v>2130</v>
      </c>
      <c r="M1538" t="s">
        <v>2255</v>
      </c>
      <c r="N1538" t="str">
        <f>"248030104624"</f>
        <v>248030104624</v>
      </c>
      <c r="O1538" t="str">
        <f>"460026199910200328"</f>
        <v>460026199910200328</v>
      </c>
    </row>
    <row r="1539" customFormat="1" spans="1:15">
      <c r="A1539">
        <v>2131</v>
      </c>
      <c r="B1539" t="s">
        <v>2256</v>
      </c>
      <c r="C1539" t="str">
        <f>"460034198912110962"</f>
        <v>460034198912110962</v>
      </c>
      <c r="D1539" t="str">
        <f>"248030501215"</f>
        <v>248030501215</v>
      </c>
      <c r="L1539">
        <v>2131</v>
      </c>
      <c r="M1539" t="s">
        <v>2256</v>
      </c>
      <c r="N1539" t="str">
        <f>"248030501215"</f>
        <v>248030501215</v>
      </c>
      <c r="O1539" t="str">
        <f>"460034198912110962"</f>
        <v>460034198912110962</v>
      </c>
    </row>
    <row r="1540" customFormat="1" spans="1:15">
      <c r="A1540">
        <v>2132</v>
      </c>
      <c r="B1540" t="s">
        <v>2257</v>
      </c>
      <c r="C1540" t="str">
        <f>"460031200010040820"</f>
        <v>460031200010040820</v>
      </c>
      <c r="D1540" t="str">
        <f>"248030504101"</f>
        <v>248030504101</v>
      </c>
      <c r="L1540">
        <v>2132</v>
      </c>
      <c r="M1540" t="s">
        <v>2257</v>
      </c>
      <c r="N1540" t="str">
        <f>"248030504101"</f>
        <v>248030504101</v>
      </c>
      <c r="O1540" t="str">
        <f>"460031200010040820"</f>
        <v>460031200010040820</v>
      </c>
    </row>
    <row r="1541" customFormat="1" spans="1:15">
      <c r="A1541">
        <v>2133</v>
      </c>
      <c r="B1541" t="s">
        <v>2258</v>
      </c>
      <c r="C1541" t="str">
        <f>"460004199403102442"</f>
        <v>460004199403102442</v>
      </c>
      <c r="D1541" t="str">
        <f>"248030501823"</f>
        <v>248030501823</v>
      </c>
      <c r="L1541">
        <v>2133</v>
      </c>
      <c r="M1541" t="s">
        <v>2258</v>
      </c>
      <c r="N1541" t="str">
        <f>"248030501823"</f>
        <v>248030501823</v>
      </c>
      <c r="O1541" t="str">
        <f>"460004199403102442"</f>
        <v>460004199403102442</v>
      </c>
    </row>
    <row r="1542" customFormat="1" spans="1:15">
      <c r="A1542">
        <v>2134</v>
      </c>
      <c r="B1542" t="s">
        <v>2259</v>
      </c>
      <c r="C1542" t="str">
        <f>"431202199710220020"</f>
        <v>431202199710220020</v>
      </c>
      <c r="D1542" t="str">
        <f>"248030202715"</f>
        <v>248030202715</v>
      </c>
      <c r="L1542">
        <v>2134</v>
      </c>
      <c r="M1542" t="s">
        <v>2259</v>
      </c>
      <c r="N1542" t="str">
        <f>"248030202715"</f>
        <v>248030202715</v>
      </c>
      <c r="O1542" t="str">
        <f>"431202199710220020"</f>
        <v>431202199710220020</v>
      </c>
    </row>
    <row r="1543" customFormat="1" spans="1:15">
      <c r="A1543">
        <v>2135</v>
      </c>
      <c r="B1543" t="s">
        <v>2260</v>
      </c>
      <c r="C1543" t="str">
        <f>"460003199610193221"</f>
        <v>460003199610193221</v>
      </c>
      <c r="L1543">
        <v>2135</v>
      </c>
      <c r="M1543" t="s">
        <v>2260</v>
      </c>
      <c r="O1543" t="str">
        <f>"460003199610193221"</f>
        <v>460003199610193221</v>
      </c>
    </row>
    <row r="1544" customFormat="1" spans="1:15">
      <c r="A1544">
        <v>2136</v>
      </c>
      <c r="B1544" t="s">
        <v>2261</v>
      </c>
      <c r="C1544" t="str">
        <f>"460028199902033227"</f>
        <v>460028199902033227</v>
      </c>
      <c r="D1544" t="str">
        <f>"248030103423"</f>
        <v>248030103423</v>
      </c>
      <c r="L1544">
        <v>2136</v>
      </c>
      <c r="M1544" t="s">
        <v>2261</v>
      </c>
      <c r="N1544" t="str">
        <f>"248030103423"</f>
        <v>248030103423</v>
      </c>
      <c r="O1544" t="str">
        <f>"460028199902033227"</f>
        <v>460028199902033227</v>
      </c>
    </row>
    <row r="1545" customFormat="1" spans="1:15">
      <c r="A1545">
        <v>2139</v>
      </c>
      <c r="B1545" t="s">
        <v>2262</v>
      </c>
      <c r="C1545" t="str">
        <f>"460002199702136017"</f>
        <v>460002199702136017</v>
      </c>
      <c r="D1545" t="str">
        <f>"248030201130"</f>
        <v>248030201130</v>
      </c>
      <c r="L1545">
        <v>2139</v>
      </c>
      <c r="M1545" t="s">
        <v>2262</v>
      </c>
      <c r="N1545" t="str">
        <f>"248030201130"</f>
        <v>248030201130</v>
      </c>
      <c r="O1545" t="str">
        <f>"460002199702136017"</f>
        <v>460002199702136017</v>
      </c>
    </row>
    <row r="1546" customFormat="1" spans="1:15">
      <c r="A1546">
        <v>2140</v>
      </c>
      <c r="B1546" t="s">
        <v>2263</v>
      </c>
      <c r="C1546" t="str">
        <f>"460027199609100420"</f>
        <v>460027199609100420</v>
      </c>
      <c r="L1546">
        <v>2140</v>
      </c>
      <c r="M1546" t="s">
        <v>2263</v>
      </c>
      <c r="O1546" t="str">
        <f>"460027199609100420"</f>
        <v>460027199609100420</v>
      </c>
    </row>
    <row r="1547" customFormat="1" spans="1:15">
      <c r="A1547">
        <v>2141</v>
      </c>
      <c r="B1547" t="s">
        <v>2264</v>
      </c>
      <c r="C1547" t="str">
        <f>"460300199407230020"</f>
        <v>460300199407230020</v>
      </c>
      <c r="D1547" t="str">
        <f>"248030403303"</f>
        <v>248030403303</v>
      </c>
      <c r="L1547">
        <v>2141</v>
      </c>
      <c r="M1547" t="s">
        <v>2264</v>
      </c>
      <c r="N1547" t="str">
        <f>"248030403303"</f>
        <v>248030403303</v>
      </c>
      <c r="O1547" t="str">
        <f>"460300199407230020"</f>
        <v>460300199407230020</v>
      </c>
    </row>
    <row r="1548" customFormat="1" spans="1:15">
      <c r="A1548">
        <v>2143</v>
      </c>
      <c r="B1548" t="s">
        <v>2265</v>
      </c>
      <c r="C1548" t="str">
        <f>"430105199410070529"</f>
        <v>430105199410070529</v>
      </c>
      <c r="D1548" t="str">
        <f>"248030402910"</f>
        <v>248030402910</v>
      </c>
      <c r="L1548">
        <v>2143</v>
      </c>
      <c r="M1548" t="s">
        <v>2265</v>
      </c>
      <c r="N1548" t="str">
        <f>"248030402910"</f>
        <v>248030402910</v>
      </c>
      <c r="O1548" t="str">
        <f>"430105199410070529"</f>
        <v>430105199410070529</v>
      </c>
    </row>
    <row r="1549" customFormat="1" spans="1:15">
      <c r="A1549">
        <v>2144</v>
      </c>
      <c r="B1549" t="s">
        <v>2266</v>
      </c>
      <c r="C1549" t="str">
        <f>"460004199410024024"</f>
        <v>460004199410024024</v>
      </c>
      <c r="D1549" t="str">
        <f>"248030402811"</f>
        <v>248030402811</v>
      </c>
      <c r="L1549">
        <v>2144</v>
      </c>
      <c r="M1549" t="s">
        <v>2266</v>
      </c>
      <c r="N1549" t="str">
        <f>"248030402811"</f>
        <v>248030402811</v>
      </c>
      <c r="O1549" t="str">
        <f>"460004199410024024"</f>
        <v>460004199410024024</v>
      </c>
    </row>
    <row r="1550" customFormat="1" spans="1:15">
      <c r="A1550">
        <v>2145</v>
      </c>
      <c r="B1550" t="s">
        <v>2267</v>
      </c>
      <c r="C1550" t="str">
        <f>"430482199409130044"</f>
        <v>430482199409130044</v>
      </c>
      <c r="D1550" t="str">
        <f>"248030203317"</f>
        <v>248030203317</v>
      </c>
      <c r="L1550">
        <v>2145</v>
      </c>
      <c r="M1550" t="s">
        <v>2267</v>
      </c>
      <c r="N1550" t="str">
        <f>"248030203317"</f>
        <v>248030203317</v>
      </c>
      <c r="O1550" t="str">
        <f>"430482199409130044"</f>
        <v>430482199409130044</v>
      </c>
    </row>
    <row r="1551" customFormat="1" spans="1:15">
      <c r="A1551">
        <v>2147</v>
      </c>
      <c r="B1551" t="s">
        <v>76</v>
      </c>
      <c r="C1551" t="str">
        <f>"460027200007100621"</f>
        <v>460027200007100621</v>
      </c>
      <c r="D1551" t="str">
        <f>"248030301709"</f>
        <v>248030301709</v>
      </c>
      <c r="L1551">
        <v>2147</v>
      </c>
      <c r="M1551" t="s">
        <v>76</v>
      </c>
      <c r="N1551" t="str">
        <f>"248030301709"</f>
        <v>248030301709</v>
      </c>
      <c r="O1551" t="str">
        <f>"460027200007100621"</f>
        <v>460027200007100621</v>
      </c>
    </row>
    <row r="1552" customFormat="1" spans="1:15">
      <c r="A1552">
        <v>2148</v>
      </c>
      <c r="B1552" t="s">
        <v>2268</v>
      </c>
      <c r="C1552" t="str">
        <f>"460103200012262144"</f>
        <v>460103200012262144</v>
      </c>
      <c r="D1552" t="str">
        <f>"248030202811"</f>
        <v>248030202811</v>
      </c>
      <c r="L1552">
        <v>2148</v>
      </c>
      <c r="M1552" t="s">
        <v>2268</v>
      </c>
      <c r="N1552" t="str">
        <f>"248030202811"</f>
        <v>248030202811</v>
      </c>
      <c r="O1552" t="str">
        <f>"460103200012262144"</f>
        <v>460103200012262144</v>
      </c>
    </row>
    <row r="1553" customFormat="1" spans="1:15">
      <c r="A1553">
        <v>2149</v>
      </c>
      <c r="B1553" t="s">
        <v>2269</v>
      </c>
      <c r="C1553" t="str">
        <f>"460027200202058502"</f>
        <v>460027200202058502</v>
      </c>
      <c r="D1553" t="str">
        <f>"248030101030"</f>
        <v>248030101030</v>
      </c>
      <c r="L1553">
        <v>2149</v>
      </c>
      <c r="M1553" t="s">
        <v>2269</v>
      </c>
      <c r="N1553" t="str">
        <f>"248030101030"</f>
        <v>248030101030</v>
      </c>
      <c r="O1553" t="str">
        <f>"460027200202058502"</f>
        <v>460027200202058502</v>
      </c>
    </row>
    <row r="1554" customFormat="1" spans="1:15">
      <c r="A1554">
        <v>2150</v>
      </c>
      <c r="B1554" t="s">
        <v>2270</v>
      </c>
      <c r="C1554" t="str">
        <f>"460005200211031522"</f>
        <v>460005200211031522</v>
      </c>
      <c r="D1554" t="str">
        <f>"248030401115"</f>
        <v>248030401115</v>
      </c>
      <c r="L1554">
        <v>2150</v>
      </c>
      <c r="M1554" t="s">
        <v>2270</v>
      </c>
      <c r="N1554" t="str">
        <f>"248030401115"</f>
        <v>248030401115</v>
      </c>
      <c r="O1554" t="str">
        <f>"460005200211031522"</f>
        <v>460005200211031522</v>
      </c>
    </row>
    <row r="1555" customFormat="1" spans="1:15">
      <c r="A1555">
        <v>2152</v>
      </c>
      <c r="B1555" t="s">
        <v>2271</v>
      </c>
      <c r="C1555" t="str">
        <f>"511502199810302740"</f>
        <v>511502199810302740</v>
      </c>
      <c r="D1555" t="str">
        <f>"248030301903"</f>
        <v>248030301903</v>
      </c>
      <c r="L1555">
        <v>2152</v>
      </c>
      <c r="M1555" t="s">
        <v>2271</v>
      </c>
      <c r="N1555" t="str">
        <f>"248030301903"</f>
        <v>248030301903</v>
      </c>
      <c r="O1555" t="str">
        <f>"511502199810302740"</f>
        <v>511502199810302740</v>
      </c>
    </row>
    <row r="1556" customFormat="1" spans="1:15">
      <c r="A1556">
        <v>2153</v>
      </c>
      <c r="B1556" t="s">
        <v>2272</v>
      </c>
      <c r="C1556" t="str">
        <f>"460022199205084848"</f>
        <v>460022199205084848</v>
      </c>
      <c r="D1556" t="str">
        <f>"248030103515"</f>
        <v>248030103515</v>
      </c>
      <c r="L1556">
        <v>2153</v>
      </c>
      <c r="M1556" t="s">
        <v>2272</v>
      </c>
      <c r="N1556" t="str">
        <f>"248030103515"</f>
        <v>248030103515</v>
      </c>
      <c r="O1556" t="str">
        <f>"460022199205084848"</f>
        <v>460022199205084848</v>
      </c>
    </row>
    <row r="1557" customFormat="1" spans="1:15">
      <c r="A1557">
        <v>2154</v>
      </c>
      <c r="B1557" t="s">
        <v>2273</v>
      </c>
      <c r="C1557" t="str">
        <f>"420704200212031561"</f>
        <v>420704200212031561</v>
      </c>
      <c r="D1557" t="str">
        <f>"248030301225"</f>
        <v>248030301225</v>
      </c>
      <c r="L1557">
        <v>2154</v>
      </c>
      <c r="M1557" t="s">
        <v>2273</v>
      </c>
      <c r="N1557" t="str">
        <f>"248030301225"</f>
        <v>248030301225</v>
      </c>
      <c r="O1557" t="str">
        <f>"420704200212031561"</f>
        <v>420704200212031561</v>
      </c>
    </row>
    <row r="1558" customFormat="1" spans="1:15">
      <c r="A1558">
        <v>2155</v>
      </c>
      <c r="B1558" t="s">
        <v>2274</v>
      </c>
      <c r="C1558" t="str">
        <f>"210521200209280029"</f>
        <v>210521200209280029</v>
      </c>
      <c r="D1558" t="str">
        <f>"248030301605"</f>
        <v>248030301605</v>
      </c>
      <c r="L1558">
        <v>2155</v>
      </c>
      <c r="M1558" t="s">
        <v>2274</v>
      </c>
      <c r="N1558" t="str">
        <f>"248030301605"</f>
        <v>248030301605</v>
      </c>
      <c r="O1558" t="str">
        <f>"210521200209280029"</f>
        <v>210521200209280029</v>
      </c>
    </row>
    <row r="1559" customFormat="1" spans="1:15">
      <c r="A1559">
        <v>2156</v>
      </c>
      <c r="B1559" t="s">
        <v>558</v>
      </c>
      <c r="C1559" t="str">
        <f>"230184200209176827"</f>
        <v>230184200209176827</v>
      </c>
      <c r="D1559" t="str">
        <f>"248030302611"</f>
        <v>248030302611</v>
      </c>
      <c r="L1559">
        <v>2156</v>
      </c>
      <c r="M1559" t="s">
        <v>558</v>
      </c>
      <c r="N1559" t="str">
        <f>"248030302611"</f>
        <v>248030302611</v>
      </c>
      <c r="O1559" t="str">
        <f>"230184200209176827"</f>
        <v>230184200209176827</v>
      </c>
    </row>
    <row r="1560" customFormat="1" spans="1:15">
      <c r="A1560">
        <v>2157</v>
      </c>
      <c r="B1560" t="s">
        <v>2275</v>
      </c>
      <c r="C1560" t="str">
        <f>"460006200006072313"</f>
        <v>460006200006072313</v>
      </c>
      <c r="D1560" t="str">
        <f>"248030202402"</f>
        <v>248030202402</v>
      </c>
      <c r="L1560">
        <v>2157</v>
      </c>
      <c r="M1560" t="s">
        <v>2275</v>
      </c>
      <c r="N1560" t="str">
        <f>"248030202402"</f>
        <v>248030202402</v>
      </c>
      <c r="O1560" t="str">
        <f>"460006200006072313"</f>
        <v>460006200006072313</v>
      </c>
    </row>
    <row r="1561" customFormat="1" spans="1:15">
      <c r="A1561">
        <v>2159</v>
      </c>
      <c r="B1561" t="s">
        <v>2276</v>
      </c>
      <c r="C1561" t="str">
        <f>"460005200101090329"</f>
        <v>460005200101090329</v>
      </c>
      <c r="D1561" t="str">
        <f>"248030202624"</f>
        <v>248030202624</v>
      </c>
      <c r="L1561">
        <v>2159</v>
      </c>
      <c r="M1561" t="s">
        <v>2276</v>
      </c>
      <c r="N1561" t="str">
        <f>"248030202624"</f>
        <v>248030202624</v>
      </c>
      <c r="O1561" t="str">
        <f>"460005200101090329"</f>
        <v>460005200101090329</v>
      </c>
    </row>
    <row r="1562" customFormat="1" spans="1:15">
      <c r="A1562">
        <v>2160</v>
      </c>
      <c r="B1562" t="s">
        <v>2277</v>
      </c>
      <c r="C1562" t="str">
        <f>"142623198901073060"</f>
        <v>142623198901073060</v>
      </c>
      <c r="D1562" t="str">
        <f>"248030105016"</f>
        <v>248030105016</v>
      </c>
      <c r="L1562">
        <v>2160</v>
      </c>
      <c r="M1562" t="s">
        <v>2277</v>
      </c>
      <c r="N1562" t="str">
        <f>"248030105016"</f>
        <v>248030105016</v>
      </c>
      <c r="O1562" t="str">
        <f>"142623198901073060"</f>
        <v>142623198901073060</v>
      </c>
    </row>
    <row r="1563" customFormat="1" spans="1:15">
      <c r="A1563">
        <v>2161</v>
      </c>
      <c r="B1563" t="s">
        <v>2278</v>
      </c>
      <c r="C1563" t="str">
        <f>"460003200007196626"</f>
        <v>460003200007196626</v>
      </c>
      <c r="L1563">
        <v>2161</v>
      </c>
      <c r="M1563" t="s">
        <v>2278</v>
      </c>
      <c r="O1563" t="str">
        <f>"460003200007196626"</f>
        <v>460003200007196626</v>
      </c>
    </row>
    <row r="1564" customFormat="1" spans="1:15">
      <c r="A1564">
        <v>2162</v>
      </c>
      <c r="B1564" t="s">
        <v>2279</v>
      </c>
      <c r="C1564" t="str">
        <f>"460028199406200444"</f>
        <v>460028199406200444</v>
      </c>
      <c r="D1564" t="str">
        <f>"248030104712"</f>
        <v>248030104712</v>
      </c>
      <c r="L1564">
        <v>2162</v>
      </c>
      <c r="M1564" t="s">
        <v>2279</v>
      </c>
      <c r="N1564" t="str">
        <f>"248030104712"</f>
        <v>248030104712</v>
      </c>
      <c r="O1564" t="str">
        <f>"460028199406200444"</f>
        <v>460028199406200444</v>
      </c>
    </row>
    <row r="1565" customFormat="1" spans="1:15">
      <c r="A1565">
        <v>2163</v>
      </c>
      <c r="B1565" t="s">
        <v>2280</v>
      </c>
      <c r="C1565" t="str">
        <f>"460031199911221228"</f>
        <v>460031199911221228</v>
      </c>
      <c r="D1565" t="str">
        <f>"248030302728"</f>
        <v>248030302728</v>
      </c>
      <c r="L1565">
        <v>2163</v>
      </c>
      <c r="M1565" t="s">
        <v>2280</v>
      </c>
      <c r="N1565" t="str">
        <f>"248030302728"</f>
        <v>248030302728</v>
      </c>
      <c r="O1565" t="str">
        <f>"460031199911221228"</f>
        <v>460031199911221228</v>
      </c>
    </row>
    <row r="1566" customFormat="1" spans="1:15">
      <c r="A1566">
        <v>2164</v>
      </c>
      <c r="B1566" t="s">
        <v>2281</v>
      </c>
      <c r="C1566" t="str">
        <f>"46002719980514202X"</f>
        <v>46002719980514202X</v>
      </c>
      <c r="L1566">
        <v>2164</v>
      </c>
      <c r="M1566" t="s">
        <v>2281</v>
      </c>
      <c r="O1566" t="str">
        <f>"46002719980514202X"</f>
        <v>46002719980514202X</v>
      </c>
    </row>
    <row r="1567" customFormat="1" spans="1:15">
      <c r="A1567">
        <v>2165</v>
      </c>
      <c r="B1567" t="s">
        <v>1712</v>
      </c>
      <c r="C1567" t="str">
        <f>"460025199909180925"</f>
        <v>460025199909180925</v>
      </c>
      <c r="L1567">
        <v>2165</v>
      </c>
      <c r="M1567" t="s">
        <v>1712</v>
      </c>
      <c r="O1567" t="str">
        <f>"460025199909180925"</f>
        <v>460025199909180925</v>
      </c>
    </row>
    <row r="1568" customFormat="1" spans="1:15">
      <c r="A1568">
        <v>2166</v>
      </c>
      <c r="B1568" t="s">
        <v>2282</v>
      </c>
      <c r="C1568" t="str">
        <f>"460007199811052308"</f>
        <v>460007199811052308</v>
      </c>
      <c r="L1568">
        <v>2166</v>
      </c>
      <c r="M1568" t="s">
        <v>2282</v>
      </c>
      <c r="O1568" t="str">
        <f>"460007199811052308"</f>
        <v>460007199811052308</v>
      </c>
    </row>
    <row r="1569" customFormat="1" spans="1:15">
      <c r="A1569">
        <v>2167</v>
      </c>
      <c r="B1569" t="s">
        <v>2283</v>
      </c>
      <c r="C1569" t="str">
        <f>"460003199612120229"</f>
        <v>460003199612120229</v>
      </c>
      <c r="L1569">
        <v>2167</v>
      </c>
      <c r="M1569" t="s">
        <v>2283</v>
      </c>
      <c r="O1569" t="str">
        <f>"460003199612120229"</f>
        <v>460003199612120229</v>
      </c>
    </row>
    <row r="1570" customFormat="1" spans="1:15">
      <c r="A1570">
        <v>2168</v>
      </c>
      <c r="B1570" t="s">
        <v>2284</v>
      </c>
      <c r="C1570" t="str">
        <f>"232302199301191328"</f>
        <v>232302199301191328</v>
      </c>
      <c r="D1570" t="str">
        <f>"248030501929"</f>
        <v>248030501929</v>
      </c>
      <c r="L1570">
        <v>2168</v>
      </c>
      <c r="M1570" t="s">
        <v>2284</v>
      </c>
      <c r="N1570" t="str">
        <f>"248030501929"</f>
        <v>248030501929</v>
      </c>
      <c r="O1570" t="str">
        <f>"232302199301191328"</f>
        <v>232302199301191328</v>
      </c>
    </row>
    <row r="1571" customFormat="1" spans="1:15">
      <c r="A1571">
        <v>2169</v>
      </c>
      <c r="B1571" t="s">
        <v>2285</v>
      </c>
      <c r="C1571" t="str">
        <f>"460028200001071248"</f>
        <v>460028200001071248</v>
      </c>
      <c r="D1571" t="str">
        <f>"248030302218"</f>
        <v>248030302218</v>
      </c>
      <c r="L1571">
        <v>2169</v>
      </c>
      <c r="M1571" t="s">
        <v>2285</v>
      </c>
      <c r="N1571" t="str">
        <f>"248030302218"</f>
        <v>248030302218</v>
      </c>
      <c r="O1571" t="str">
        <f>"460028200001071248"</f>
        <v>460028200001071248</v>
      </c>
    </row>
    <row r="1572" customFormat="1" spans="1:15">
      <c r="A1572">
        <v>2170</v>
      </c>
      <c r="B1572" t="s">
        <v>2286</v>
      </c>
      <c r="C1572" t="str">
        <f>"460006199202072729"</f>
        <v>460006199202072729</v>
      </c>
      <c r="D1572" t="str">
        <f>"248030203721"</f>
        <v>248030203721</v>
      </c>
      <c r="L1572">
        <v>2170</v>
      </c>
      <c r="M1572" t="s">
        <v>2286</v>
      </c>
      <c r="N1572" t="str">
        <f>"248030203721"</f>
        <v>248030203721</v>
      </c>
      <c r="O1572" t="str">
        <f>"460006199202072729"</f>
        <v>460006199202072729</v>
      </c>
    </row>
    <row r="1573" customFormat="1" spans="1:15">
      <c r="A1573">
        <v>2171</v>
      </c>
      <c r="B1573" t="s">
        <v>2287</v>
      </c>
      <c r="C1573" t="str">
        <f>"460028199804245226"</f>
        <v>460028199804245226</v>
      </c>
      <c r="L1573">
        <v>2171</v>
      </c>
      <c r="M1573" t="s">
        <v>2287</v>
      </c>
      <c r="O1573" t="str">
        <f>"460028199804245226"</f>
        <v>460028199804245226</v>
      </c>
    </row>
    <row r="1574" customFormat="1" spans="1:15">
      <c r="A1574">
        <v>2172</v>
      </c>
      <c r="B1574" t="s">
        <v>2288</v>
      </c>
      <c r="C1574" t="str">
        <f>"469005199808192321"</f>
        <v>469005199808192321</v>
      </c>
      <c r="D1574" t="str">
        <f>"248030104221"</f>
        <v>248030104221</v>
      </c>
      <c r="L1574">
        <v>2172</v>
      </c>
      <c r="M1574" t="s">
        <v>2288</v>
      </c>
      <c r="N1574" t="str">
        <f>"248030104221"</f>
        <v>248030104221</v>
      </c>
      <c r="O1574" t="str">
        <f>"469005199808192321"</f>
        <v>469005199808192321</v>
      </c>
    </row>
    <row r="1575" customFormat="1" spans="1:15">
      <c r="A1575">
        <v>2173</v>
      </c>
      <c r="B1575" t="s">
        <v>2289</v>
      </c>
      <c r="C1575" t="str">
        <f>"460104199903050621"</f>
        <v>460104199903050621</v>
      </c>
      <c r="D1575" t="str">
        <f>"248030502407"</f>
        <v>248030502407</v>
      </c>
      <c r="L1575">
        <v>2173</v>
      </c>
      <c r="M1575" t="s">
        <v>2289</v>
      </c>
      <c r="N1575" t="str">
        <f>"248030502407"</f>
        <v>248030502407</v>
      </c>
      <c r="O1575" t="str">
        <f>"460104199903050621"</f>
        <v>460104199903050621</v>
      </c>
    </row>
    <row r="1576" customFormat="1" spans="1:15">
      <c r="A1576">
        <v>2174</v>
      </c>
      <c r="B1576" t="s">
        <v>2290</v>
      </c>
      <c r="C1576" t="str">
        <f>"460027199707261324"</f>
        <v>460027199707261324</v>
      </c>
      <c r="D1576" t="str">
        <f>"248030200903"</f>
        <v>248030200903</v>
      </c>
      <c r="L1576">
        <v>2174</v>
      </c>
      <c r="M1576" t="s">
        <v>2290</v>
      </c>
      <c r="N1576" t="str">
        <f>"248030200903"</f>
        <v>248030200903</v>
      </c>
      <c r="O1576" t="str">
        <f>"460027199707261324"</f>
        <v>460027199707261324</v>
      </c>
    </row>
    <row r="1577" customFormat="1" spans="1:15">
      <c r="A1577">
        <v>2175</v>
      </c>
      <c r="B1577" t="s">
        <v>2291</v>
      </c>
      <c r="C1577" t="str">
        <f>"460031199506173269"</f>
        <v>460031199506173269</v>
      </c>
      <c r="L1577">
        <v>2175</v>
      </c>
      <c r="M1577" t="s">
        <v>2291</v>
      </c>
      <c r="O1577" t="str">
        <f>"460031199506173269"</f>
        <v>460031199506173269</v>
      </c>
    </row>
    <row r="1578" customFormat="1" spans="1:15">
      <c r="A1578">
        <v>2176</v>
      </c>
      <c r="B1578" t="s">
        <v>2292</v>
      </c>
      <c r="C1578" t="str">
        <f>"460102199812123327"</f>
        <v>460102199812123327</v>
      </c>
      <c r="D1578" t="str">
        <f>"248030102705"</f>
        <v>248030102705</v>
      </c>
      <c r="L1578">
        <v>2176</v>
      </c>
      <c r="M1578" t="s">
        <v>2292</v>
      </c>
      <c r="N1578" t="str">
        <f>"248030102705"</f>
        <v>248030102705</v>
      </c>
      <c r="O1578" t="str">
        <f>"460102199812123327"</f>
        <v>460102199812123327</v>
      </c>
    </row>
    <row r="1579" customFormat="1" spans="1:15">
      <c r="A1579">
        <v>2177</v>
      </c>
      <c r="B1579" t="s">
        <v>2293</v>
      </c>
      <c r="C1579" t="str">
        <f>"46000719990317496X"</f>
        <v>46000719990317496X</v>
      </c>
      <c r="D1579" t="str">
        <f>"248030401903"</f>
        <v>248030401903</v>
      </c>
      <c r="L1579">
        <v>2177</v>
      </c>
      <c r="M1579" t="s">
        <v>2293</v>
      </c>
      <c r="N1579" t="str">
        <f>"248030401903"</f>
        <v>248030401903</v>
      </c>
      <c r="O1579" t="str">
        <f>"46000719990317496X"</f>
        <v>46000719990317496X</v>
      </c>
    </row>
    <row r="1580" customFormat="1" spans="1:15">
      <c r="A1580">
        <v>2178</v>
      </c>
      <c r="B1580" t="s">
        <v>2294</v>
      </c>
      <c r="C1580" t="str">
        <f>"460003199502213416"</f>
        <v>460003199502213416</v>
      </c>
      <c r="L1580">
        <v>2178</v>
      </c>
      <c r="M1580" t="s">
        <v>2294</v>
      </c>
      <c r="O1580" t="str">
        <f>"460003199502213416"</f>
        <v>460003199502213416</v>
      </c>
    </row>
    <row r="1581" customFormat="1" spans="1:15">
      <c r="A1581">
        <v>2179</v>
      </c>
      <c r="B1581" t="s">
        <v>2295</v>
      </c>
      <c r="C1581" t="str">
        <f>"469024200008162022"</f>
        <v>469024200008162022</v>
      </c>
      <c r="D1581" t="str">
        <f>"248030101105"</f>
        <v>248030101105</v>
      </c>
      <c r="L1581">
        <v>2179</v>
      </c>
      <c r="M1581" t="s">
        <v>2295</v>
      </c>
      <c r="N1581" t="str">
        <f>"248030101105"</f>
        <v>248030101105</v>
      </c>
      <c r="O1581" t="str">
        <f>"469024200008162022"</f>
        <v>469024200008162022</v>
      </c>
    </row>
    <row r="1582" customFormat="1" spans="1:15">
      <c r="A1582">
        <v>2180</v>
      </c>
      <c r="B1582" t="s">
        <v>2296</v>
      </c>
      <c r="C1582" t="str">
        <f>"460003199501264844"</f>
        <v>460003199501264844</v>
      </c>
      <c r="D1582" t="str">
        <f>"248030402801"</f>
        <v>248030402801</v>
      </c>
      <c r="L1582">
        <v>2180</v>
      </c>
      <c r="M1582" t="s">
        <v>2296</v>
      </c>
      <c r="N1582" t="str">
        <f>"248030402801"</f>
        <v>248030402801</v>
      </c>
      <c r="O1582" t="str">
        <f>"460003199501264844"</f>
        <v>460003199501264844</v>
      </c>
    </row>
    <row r="1583" customFormat="1" spans="1:15">
      <c r="A1583">
        <v>2182</v>
      </c>
      <c r="B1583" t="s">
        <v>2297</v>
      </c>
      <c r="C1583" t="str">
        <f>"460033199807303883"</f>
        <v>460033199807303883</v>
      </c>
      <c r="D1583" t="str">
        <f>"248030203720"</f>
        <v>248030203720</v>
      </c>
      <c r="L1583">
        <v>2182</v>
      </c>
      <c r="M1583" t="s">
        <v>2297</v>
      </c>
      <c r="N1583" t="str">
        <f>"248030203720"</f>
        <v>248030203720</v>
      </c>
      <c r="O1583" t="str">
        <f>"460033199807303883"</f>
        <v>460033199807303883</v>
      </c>
    </row>
    <row r="1584" customFormat="1" spans="1:15">
      <c r="A1584">
        <v>2183</v>
      </c>
      <c r="B1584" t="s">
        <v>2298</v>
      </c>
      <c r="C1584" t="str">
        <f>"460003199512013020"</f>
        <v>460003199512013020</v>
      </c>
      <c r="D1584" t="str">
        <f>"248030100819"</f>
        <v>248030100819</v>
      </c>
      <c r="L1584">
        <v>2183</v>
      </c>
      <c r="M1584" t="s">
        <v>2298</v>
      </c>
      <c r="N1584" t="str">
        <f>"248030100819"</f>
        <v>248030100819</v>
      </c>
      <c r="O1584" t="str">
        <f>"460003199512013020"</f>
        <v>460003199512013020</v>
      </c>
    </row>
    <row r="1585" customFormat="1" spans="1:15">
      <c r="A1585">
        <v>2185</v>
      </c>
      <c r="B1585" t="s">
        <v>2299</v>
      </c>
      <c r="C1585" t="str">
        <f>"460007199910307257"</f>
        <v>460007199910307257</v>
      </c>
      <c r="L1585">
        <v>2185</v>
      </c>
      <c r="M1585" t="s">
        <v>2299</v>
      </c>
      <c r="O1585" t="str">
        <f>"460007199910307257"</f>
        <v>460007199910307257</v>
      </c>
    </row>
    <row r="1586" customFormat="1" spans="1:15">
      <c r="A1586">
        <v>2187</v>
      </c>
      <c r="B1586" t="s">
        <v>167</v>
      </c>
      <c r="C1586" t="str">
        <f>"460022199605093911"</f>
        <v>460022199605093911</v>
      </c>
      <c r="D1586" t="str">
        <f>"248030202803"</f>
        <v>248030202803</v>
      </c>
      <c r="L1586">
        <v>2187</v>
      </c>
      <c r="M1586" t="s">
        <v>167</v>
      </c>
      <c r="N1586" t="str">
        <f>"248030202803"</f>
        <v>248030202803</v>
      </c>
      <c r="O1586" t="str">
        <f>"460022199605093911"</f>
        <v>460022199605093911</v>
      </c>
    </row>
    <row r="1587" customFormat="1" spans="1:15">
      <c r="A1587">
        <v>2188</v>
      </c>
      <c r="B1587" t="s">
        <v>2300</v>
      </c>
      <c r="C1587" t="str">
        <f>"460033200106268080"</f>
        <v>460033200106268080</v>
      </c>
      <c r="D1587" t="str">
        <f>"248030103927"</f>
        <v>248030103927</v>
      </c>
      <c r="L1587">
        <v>2188</v>
      </c>
      <c r="M1587" t="s">
        <v>2300</v>
      </c>
      <c r="N1587" t="str">
        <f>"248030103927"</f>
        <v>248030103927</v>
      </c>
      <c r="O1587" t="str">
        <f>"460033200106268080"</f>
        <v>460033200106268080</v>
      </c>
    </row>
    <row r="1588" customFormat="1" spans="1:15">
      <c r="A1588">
        <v>2189</v>
      </c>
      <c r="B1588" t="s">
        <v>2301</v>
      </c>
      <c r="C1588" t="str">
        <f>"460033199206102680"</f>
        <v>460033199206102680</v>
      </c>
      <c r="D1588" t="str">
        <f>"248030301102"</f>
        <v>248030301102</v>
      </c>
      <c r="L1588">
        <v>2189</v>
      </c>
      <c r="M1588" t="s">
        <v>2301</v>
      </c>
      <c r="N1588" t="str">
        <f>"248030301102"</f>
        <v>248030301102</v>
      </c>
      <c r="O1588" t="str">
        <f>"460033199206102680"</f>
        <v>460033199206102680</v>
      </c>
    </row>
    <row r="1589" customFormat="1" spans="1:15">
      <c r="A1589">
        <v>2191</v>
      </c>
      <c r="B1589" t="s">
        <v>2302</v>
      </c>
      <c r="C1589" t="str">
        <f>"460006199407064028"</f>
        <v>460006199407064028</v>
      </c>
      <c r="D1589" t="str">
        <f>"248030200201"</f>
        <v>248030200201</v>
      </c>
      <c r="L1589">
        <v>2191</v>
      </c>
      <c r="M1589" t="s">
        <v>2302</v>
      </c>
      <c r="N1589" t="str">
        <f>"248030200201"</f>
        <v>248030200201</v>
      </c>
      <c r="O1589" t="str">
        <f>"460006199407064028"</f>
        <v>460006199407064028</v>
      </c>
    </row>
    <row r="1590" customFormat="1" spans="1:15">
      <c r="A1590">
        <v>2192</v>
      </c>
      <c r="B1590" t="s">
        <v>2303</v>
      </c>
      <c r="C1590" t="str">
        <f>"460004199708110224"</f>
        <v>460004199708110224</v>
      </c>
      <c r="D1590" t="str">
        <f>"248030104520"</f>
        <v>248030104520</v>
      </c>
      <c r="L1590">
        <v>2192</v>
      </c>
      <c r="M1590" t="s">
        <v>2303</v>
      </c>
      <c r="N1590" t="str">
        <f>"248030104520"</f>
        <v>248030104520</v>
      </c>
      <c r="O1590" t="str">
        <f>"460004199708110224"</f>
        <v>460004199708110224</v>
      </c>
    </row>
    <row r="1591" customFormat="1" spans="1:15">
      <c r="A1591">
        <v>2193</v>
      </c>
      <c r="B1591" t="s">
        <v>2304</v>
      </c>
      <c r="C1591" t="str">
        <f>"440825200010143961"</f>
        <v>440825200010143961</v>
      </c>
      <c r="D1591" t="str">
        <f>"248030401106"</f>
        <v>248030401106</v>
      </c>
      <c r="L1591">
        <v>2193</v>
      </c>
      <c r="M1591" t="s">
        <v>2304</v>
      </c>
      <c r="N1591" t="str">
        <f>"248030401106"</f>
        <v>248030401106</v>
      </c>
      <c r="O1591" t="str">
        <f>"440825200010143961"</f>
        <v>440825200010143961</v>
      </c>
    </row>
    <row r="1592" customFormat="1" spans="1:15">
      <c r="A1592">
        <v>2194</v>
      </c>
      <c r="B1592" t="s">
        <v>2305</v>
      </c>
      <c r="C1592" t="str">
        <f>"460103200005271843"</f>
        <v>460103200005271843</v>
      </c>
      <c r="D1592" t="str">
        <f>"248030104318"</f>
        <v>248030104318</v>
      </c>
      <c r="L1592">
        <v>2194</v>
      </c>
      <c r="M1592" t="s">
        <v>2305</v>
      </c>
      <c r="N1592" t="str">
        <f>"248030104318"</f>
        <v>248030104318</v>
      </c>
      <c r="O1592" t="str">
        <f>"460103200005271843"</f>
        <v>460103200005271843</v>
      </c>
    </row>
    <row r="1593" customFormat="1" spans="1:15">
      <c r="A1593">
        <v>2195</v>
      </c>
      <c r="B1593" t="s">
        <v>2306</v>
      </c>
      <c r="C1593" t="str">
        <f>"460200200103302742"</f>
        <v>460200200103302742</v>
      </c>
      <c r="L1593">
        <v>2195</v>
      </c>
      <c r="M1593" t="s">
        <v>2306</v>
      </c>
      <c r="O1593" t="str">
        <f>"460200200103302742"</f>
        <v>460200200103302742</v>
      </c>
    </row>
    <row r="1594" customFormat="1" spans="1:15">
      <c r="A1594">
        <v>2196</v>
      </c>
      <c r="B1594" t="s">
        <v>2307</v>
      </c>
      <c r="C1594" t="str">
        <f>"460034200007230040"</f>
        <v>460034200007230040</v>
      </c>
      <c r="D1594" t="str">
        <f>"248030103816"</f>
        <v>248030103816</v>
      </c>
      <c r="L1594">
        <v>2196</v>
      </c>
      <c r="M1594" t="s">
        <v>2307</v>
      </c>
      <c r="N1594" t="str">
        <f>"248030103816"</f>
        <v>248030103816</v>
      </c>
      <c r="O1594" t="str">
        <f>"460034200007230040"</f>
        <v>460034200007230040</v>
      </c>
    </row>
    <row r="1595" customFormat="1" spans="1:15">
      <c r="A1595">
        <v>2198</v>
      </c>
      <c r="B1595" t="s">
        <v>2308</v>
      </c>
      <c r="C1595" t="str">
        <f>"460006199801110424"</f>
        <v>460006199801110424</v>
      </c>
      <c r="D1595" t="str">
        <f>"248030203323"</f>
        <v>248030203323</v>
      </c>
      <c r="L1595">
        <v>2198</v>
      </c>
      <c r="M1595" t="s">
        <v>2308</v>
      </c>
      <c r="N1595" t="str">
        <f>"248030203323"</f>
        <v>248030203323</v>
      </c>
      <c r="O1595" t="str">
        <f>"460006199801110424"</f>
        <v>460006199801110424</v>
      </c>
    </row>
    <row r="1596" customFormat="1" spans="1:15">
      <c r="A1596">
        <v>2199</v>
      </c>
      <c r="B1596" t="s">
        <v>2309</v>
      </c>
      <c r="C1596" t="str">
        <f>"46002619950326122X"</f>
        <v>46002619950326122X</v>
      </c>
      <c r="D1596" t="str">
        <f>"248030404221"</f>
        <v>248030404221</v>
      </c>
      <c r="L1596">
        <v>2199</v>
      </c>
      <c r="M1596" t="s">
        <v>2309</v>
      </c>
      <c r="N1596" t="str">
        <f>"248030404221"</f>
        <v>248030404221</v>
      </c>
      <c r="O1596" t="str">
        <f>"46002619950326122X"</f>
        <v>46002619950326122X</v>
      </c>
    </row>
    <row r="1597" customFormat="1" spans="1:15">
      <c r="A1597">
        <v>2201</v>
      </c>
      <c r="B1597" t="s">
        <v>2310</v>
      </c>
      <c r="C1597" t="str">
        <f>"460036199507051521"</f>
        <v>460036199507051521</v>
      </c>
      <c r="L1597">
        <v>2201</v>
      </c>
      <c r="M1597" t="s">
        <v>2310</v>
      </c>
      <c r="O1597" t="str">
        <f>"460036199507051521"</f>
        <v>460036199507051521</v>
      </c>
    </row>
    <row r="1598" customFormat="1" spans="1:15">
      <c r="A1598">
        <v>2203</v>
      </c>
      <c r="B1598" t="s">
        <v>2311</v>
      </c>
      <c r="C1598" t="str">
        <f>"362202199909285326"</f>
        <v>362202199909285326</v>
      </c>
      <c r="D1598" t="str">
        <f>"248030401728"</f>
        <v>248030401728</v>
      </c>
      <c r="L1598">
        <v>2203</v>
      </c>
      <c r="M1598" t="s">
        <v>2311</v>
      </c>
      <c r="N1598" t="str">
        <f>"248030401728"</f>
        <v>248030401728</v>
      </c>
      <c r="O1598" t="str">
        <f>"362202199909285326"</f>
        <v>362202199909285326</v>
      </c>
    </row>
    <row r="1599" customFormat="1" spans="1:15">
      <c r="A1599">
        <v>2204</v>
      </c>
      <c r="B1599" t="s">
        <v>2312</v>
      </c>
      <c r="C1599" t="str">
        <f>"460006199809264065"</f>
        <v>460006199809264065</v>
      </c>
      <c r="D1599" t="str">
        <f>"248030102105"</f>
        <v>248030102105</v>
      </c>
      <c r="L1599">
        <v>2204</v>
      </c>
      <c r="M1599" t="s">
        <v>2312</v>
      </c>
      <c r="N1599" t="str">
        <f>"248030102105"</f>
        <v>248030102105</v>
      </c>
      <c r="O1599" t="str">
        <f>"460006199809264065"</f>
        <v>460006199809264065</v>
      </c>
    </row>
    <row r="1600" customFormat="1" spans="1:15">
      <c r="A1600">
        <v>2205</v>
      </c>
      <c r="B1600" t="s">
        <v>2313</v>
      </c>
      <c r="C1600" t="str">
        <f>"220183199007253042"</f>
        <v>220183199007253042</v>
      </c>
      <c r="L1600">
        <v>2205</v>
      </c>
      <c r="M1600" t="s">
        <v>2313</v>
      </c>
      <c r="O1600" t="str">
        <f>"220183199007253042"</f>
        <v>220183199007253042</v>
      </c>
    </row>
    <row r="1601" customFormat="1" spans="1:15">
      <c r="A1601">
        <v>2206</v>
      </c>
      <c r="B1601" t="s">
        <v>2314</v>
      </c>
      <c r="C1601" t="str">
        <f>"362325198704041948"</f>
        <v>362325198704041948</v>
      </c>
      <c r="L1601">
        <v>2206</v>
      </c>
      <c r="M1601" t="s">
        <v>2314</v>
      </c>
      <c r="O1601" t="str">
        <f>"362325198704041948"</f>
        <v>362325198704041948</v>
      </c>
    </row>
    <row r="1602" customFormat="1" spans="1:15">
      <c r="A1602">
        <v>2207</v>
      </c>
      <c r="B1602" t="s">
        <v>2315</v>
      </c>
      <c r="C1602" t="str">
        <f>"46000319960516344X"</f>
        <v>46000319960516344X</v>
      </c>
      <c r="D1602" t="str">
        <f>"248030104506"</f>
        <v>248030104506</v>
      </c>
      <c r="L1602">
        <v>2207</v>
      </c>
      <c r="M1602" t="s">
        <v>2315</v>
      </c>
      <c r="N1602" t="str">
        <f>"248030104506"</f>
        <v>248030104506</v>
      </c>
      <c r="O1602" t="str">
        <f>"46000319960516344X"</f>
        <v>46000319960516344X</v>
      </c>
    </row>
    <row r="1603" customFormat="1" spans="1:15">
      <c r="A1603">
        <v>2209</v>
      </c>
      <c r="B1603" t="s">
        <v>2316</v>
      </c>
      <c r="C1603" t="str">
        <f>"460003199610054248"</f>
        <v>460003199610054248</v>
      </c>
      <c r="D1603" t="str">
        <f>"248030100804"</f>
        <v>248030100804</v>
      </c>
      <c r="L1603">
        <v>2209</v>
      </c>
      <c r="M1603" t="s">
        <v>2316</v>
      </c>
      <c r="N1603" t="str">
        <f>"248030100804"</f>
        <v>248030100804</v>
      </c>
      <c r="O1603" t="str">
        <f>"460003199610054248"</f>
        <v>460003199610054248</v>
      </c>
    </row>
    <row r="1604" customFormat="1" spans="1:15">
      <c r="A1604">
        <v>2210</v>
      </c>
      <c r="B1604" t="s">
        <v>2317</v>
      </c>
      <c r="C1604" t="str">
        <f>"460006200101013426"</f>
        <v>460006200101013426</v>
      </c>
      <c r="D1604" t="str">
        <f>"248030500101"</f>
        <v>248030500101</v>
      </c>
      <c r="L1604">
        <v>2210</v>
      </c>
      <c r="M1604" t="s">
        <v>2317</v>
      </c>
      <c r="N1604" t="str">
        <f>"248030500101"</f>
        <v>248030500101</v>
      </c>
      <c r="O1604" t="str">
        <f>"460006200101013426"</f>
        <v>460006200101013426</v>
      </c>
    </row>
    <row r="1605" customFormat="1" spans="1:15">
      <c r="A1605">
        <v>2211</v>
      </c>
      <c r="B1605" t="s">
        <v>2318</v>
      </c>
      <c r="C1605" t="str">
        <f>"460005200202044823"</f>
        <v>460005200202044823</v>
      </c>
      <c r="L1605">
        <v>2211</v>
      </c>
      <c r="M1605" t="s">
        <v>2318</v>
      </c>
      <c r="O1605" t="str">
        <f>"460005200202044823"</f>
        <v>460005200202044823</v>
      </c>
    </row>
    <row r="1606" customFormat="1" spans="1:15">
      <c r="A1606">
        <v>2212</v>
      </c>
      <c r="B1606" t="s">
        <v>2319</v>
      </c>
      <c r="C1606" t="str">
        <f>"460003199809052661"</f>
        <v>460003199809052661</v>
      </c>
      <c r="L1606">
        <v>2212</v>
      </c>
      <c r="M1606" t="s">
        <v>2319</v>
      </c>
      <c r="O1606" t="str">
        <f>"460003199809052661"</f>
        <v>460003199809052661</v>
      </c>
    </row>
    <row r="1607" customFormat="1" spans="1:15">
      <c r="A1607">
        <v>2213</v>
      </c>
      <c r="B1607" t="s">
        <v>2320</v>
      </c>
      <c r="C1607" t="str">
        <f>"460105199604100920"</f>
        <v>460105199604100920</v>
      </c>
      <c r="L1607">
        <v>2213</v>
      </c>
      <c r="M1607" t="s">
        <v>2320</v>
      </c>
      <c r="O1607" t="str">
        <f>"460105199604100920"</f>
        <v>460105199604100920</v>
      </c>
    </row>
    <row r="1608" customFormat="1" spans="1:15">
      <c r="A1608">
        <v>2215</v>
      </c>
      <c r="B1608" t="s">
        <v>2321</v>
      </c>
      <c r="C1608" t="str">
        <f>"411424199610252848"</f>
        <v>411424199610252848</v>
      </c>
      <c r="L1608">
        <v>2215</v>
      </c>
      <c r="M1608" t="s">
        <v>2321</v>
      </c>
      <c r="O1608" t="str">
        <f>"411424199610252848"</f>
        <v>411424199610252848</v>
      </c>
    </row>
    <row r="1609" customFormat="1" spans="1:15">
      <c r="A1609">
        <v>2216</v>
      </c>
      <c r="B1609" t="s">
        <v>2322</v>
      </c>
      <c r="C1609" t="str">
        <f>"460005200011112328"</f>
        <v>460005200011112328</v>
      </c>
      <c r="L1609">
        <v>2216</v>
      </c>
      <c r="M1609" t="s">
        <v>2322</v>
      </c>
      <c r="O1609" t="str">
        <f>"460005200011112328"</f>
        <v>460005200011112328</v>
      </c>
    </row>
    <row r="1610" customFormat="1" spans="1:15">
      <c r="A1610">
        <v>2218</v>
      </c>
      <c r="B1610" t="s">
        <v>2323</v>
      </c>
      <c r="C1610" t="str">
        <f>"460035199702220048"</f>
        <v>460035199702220048</v>
      </c>
      <c r="D1610" t="str">
        <f>"248030302716"</f>
        <v>248030302716</v>
      </c>
      <c r="L1610">
        <v>2218</v>
      </c>
      <c r="M1610" t="s">
        <v>2323</v>
      </c>
      <c r="N1610" t="str">
        <f>"248030302716"</f>
        <v>248030302716</v>
      </c>
      <c r="O1610" t="str">
        <f>"460035199702220048"</f>
        <v>460035199702220048</v>
      </c>
    </row>
    <row r="1611" customFormat="1" spans="1:15">
      <c r="A1611">
        <v>2219</v>
      </c>
      <c r="B1611" t="s">
        <v>2324</v>
      </c>
      <c r="C1611" t="str">
        <f>"460005199704122128"</f>
        <v>460005199704122128</v>
      </c>
      <c r="D1611" t="str">
        <f>"248030101315"</f>
        <v>248030101315</v>
      </c>
      <c r="L1611">
        <v>2219</v>
      </c>
      <c r="M1611" t="s">
        <v>2324</v>
      </c>
      <c r="N1611" t="str">
        <f>"248030101315"</f>
        <v>248030101315</v>
      </c>
      <c r="O1611" t="str">
        <f>"460005199704122128"</f>
        <v>460005199704122128</v>
      </c>
    </row>
    <row r="1612" customFormat="1" spans="1:15">
      <c r="A1612">
        <v>2220</v>
      </c>
      <c r="B1612" t="s">
        <v>2325</v>
      </c>
      <c r="C1612" t="str">
        <f>"469023199909060021"</f>
        <v>469023199909060021</v>
      </c>
      <c r="L1612">
        <v>2220</v>
      </c>
      <c r="M1612" t="s">
        <v>2325</v>
      </c>
      <c r="O1612" t="str">
        <f>"469023199909060021"</f>
        <v>469023199909060021</v>
      </c>
    </row>
    <row r="1613" customFormat="1" spans="1:15">
      <c r="A1613">
        <v>2221</v>
      </c>
      <c r="B1613" t="s">
        <v>2326</v>
      </c>
      <c r="C1613" t="str">
        <f>"500381200302126725"</f>
        <v>500381200302126725</v>
      </c>
      <c r="D1613" t="str">
        <f>"248030300613"</f>
        <v>248030300613</v>
      </c>
      <c r="L1613">
        <v>2221</v>
      </c>
      <c r="M1613" t="s">
        <v>2326</v>
      </c>
      <c r="N1613" t="str">
        <f>"248030300613"</f>
        <v>248030300613</v>
      </c>
      <c r="O1613" t="str">
        <f>"500381200302126725"</f>
        <v>500381200302126725</v>
      </c>
    </row>
    <row r="1614" customFormat="1" spans="1:15">
      <c r="A1614">
        <v>2222</v>
      </c>
      <c r="B1614" t="s">
        <v>2327</v>
      </c>
      <c r="C1614" t="str">
        <f>"469024199805201228"</f>
        <v>469024199805201228</v>
      </c>
      <c r="D1614" t="str">
        <f>"248030102023"</f>
        <v>248030102023</v>
      </c>
      <c r="L1614">
        <v>2222</v>
      </c>
      <c r="M1614" t="s">
        <v>2327</v>
      </c>
      <c r="N1614" t="str">
        <f>"248030102023"</f>
        <v>248030102023</v>
      </c>
      <c r="O1614" t="str">
        <f>"469024199805201228"</f>
        <v>469024199805201228</v>
      </c>
    </row>
    <row r="1615" customFormat="1" spans="1:15">
      <c r="A1615">
        <v>2224</v>
      </c>
      <c r="B1615" t="s">
        <v>2328</v>
      </c>
      <c r="C1615" t="str">
        <f>"230522199708301968"</f>
        <v>230522199708301968</v>
      </c>
      <c r="D1615" t="str">
        <f>"248030202810"</f>
        <v>248030202810</v>
      </c>
      <c r="L1615">
        <v>2224</v>
      </c>
      <c r="M1615" t="s">
        <v>2328</v>
      </c>
      <c r="N1615" t="str">
        <f>"248030202810"</f>
        <v>248030202810</v>
      </c>
      <c r="O1615" t="str">
        <f>"230522199708301968"</f>
        <v>230522199708301968</v>
      </c>
    </row>
    <row r="1616" customFormat="1" spans="1:15">
      <c r="A1616">
        <v>2225</v>
      </c>
      <c r="B1616" t="s">
        <v>2329</v>
      </c>
      <c r="C1616" t="str">
        <f>"460028200003164026"</f>
        <v>460028200003164026</v>
      </c>
      <c r="D1616" t="str">
        <f>"248030301616"</f>
        <v>248030301616</v>
      </c>
      <c r="L1616">
        <v>2225</v>
      </c>
      <c r="M1616" t="s">
        <v>2329</v>
      </c>
      <c r="N1616" t="str">
        <f>"248030301616"</f>
        <v>248030301616</v>
      </c>
      <c r="O1616" t="str">
        <f>"460028200003164026"</f>
        <v>460028200003164026</v>
      </c>
    </row>
    <row r="1617" customFormat="1" spans="1:15">
      <c r="A1617">
        <v>2226</v>
      </c>
      <c r="B1617" t="s">
        <v>2330</v>
      </c>
      <c r="C1617" t="str">
        <f>"460027200010237047"</f>
        <v>460027200010237047</v>
      </c>
      <c r="D1617" t="str">
        <f>"248030301006"</f>
        <v>248030301006</v>
      </c>
      <c r="L1617">
        <v>2226</v>
      </c>
      <c r="M1617" t="s">
        <v>2330</v>
      </c>
      <c r="N1617" t="str">
        <f>"248030301006"</f>
        <v>248030301006</v>
      </c>
      <c r="O1617" t="str">
        <f>"460027200010237047"</f>
        <v>460027200010237047</v>
      </c>
    </row>
    <row r="1618" customFormat="1" spans="1:15">
      <c r="A1618">
        <v>2228</v>
      </c>
      <c r="B1618" t="s">
        <v>2331</v>
      </c>
      <c r="C1618" t="str">
        <f>"46000719991127002X"</f>
        <v>46000719991127002X</v>
      </c>
      <c r="D1618" t="str">
        <f>"248030103728"</f>
        <v>248030103728</v>
      </c>
      <c r="L1618">
        <v>2228</v>
      </c>
      <c r="M1618" t="s">
        <v>2331</v>
      </c>
      <c r="N1618" t="str">
        <f>"248030103728"</f>
        <v>248030103728</v>
      </c>
      <c r="O1618" t="str">
        <f>"46000719991127002X"</f>
        <v>46000719991127002X</v>
      </c>
    </row>
    <row r="1619" customFormat="1" spans="1:15">
      <c r="A1619">
        <v>2229</v>
      </c>
      <c r="B1619" t="s">
        <v>2332</v>
      </c>
      <c r="C1619" t="str">
        <f>"460200199912284948"</f>
        <v>460200199912284948</v>
      </c>
      <c r="D1619" t="str">
        <f>"248030103214"</f>
        <v>248030103214</v>
      </c>
      <c r="L1619">
        <v>2229</v>
      </c>
      <c r="M1619" t="s">
        <v>2332</v>
      </c>
      <c r="N1619" t="str">
        <f>"248030103214"</f>
        <v>248030103214</v>
      </c>
      <c r="O1619" t="str">
        <f>"460200199912284948"</f>
        <v>460200199912284948</v>
      </c>
    </row>
    <row r="1620" customFormat="1" spans="1:15">
      <c r="A1620">
        <v>2230</v>
      </c>
      <c r="B1620" t="s">
        <v>2333</v>
      </c>
      <c r="C1620" t="str">
        <f>"441602200111261719"</f>
        <v>441602200111261719</v>
      </c>
      <c r="D1620" t="str">
        <f>"248030400407"</f>
        <v>248030400407</v>
      </c>
      <c r="L1620">
        <v>2230</v>
      </c>
      <c r="M1620" t="s">
        <v>2333</v>
      </c>
      <c r="N1620" t="str">
        <f>"248030400407"</f>
        <v>248030400407</v>
      </c>
      <c r="O1620" t="str">
        <f>"441602200111261719"</f>
        <v>441602200111261719</v>
      </c>
    </row>
    <row r="1621" customFormat="1" spans="1:15">
      <c r="A1621">
        <v>2232</v>
      </c>
      <c r="B1621" t="s">
        <v>2334</v>
      </c>
      <c r="C1621" t="str">
        <f>"460022199507140016"</f>
        <v>460022199507140016</v>
      </c>
      <c r="D1621" t="str">
        <f>"248030203515"</f>
        <v>248030203515</v>
      </c>
      <c r="L1621">
        <v>2232</v>
      </c>
      <c r="M1621" t="s">
        <v>2334</v>
      </c>
      <c r="N1621" t="str">
        <f>"248030203515"</f>
        <v>248030203515</v>
      </c>
      <c r="O1621" t="str">
        <f>"460022199507140016"</f>
        <v>460022199507140016</v>
      </c>
    </row>
    <row r="1622" customFormat="1" spans="1:15">
      <c r="A1622">
        <v>2233</v>
      </c>
      <c r="B1622" t="s">
        <v>2335</v>
      </c>
      <c r="C1622" t="str">
        <f>"460005199607060025"</f>
        <v>460005199607060025</v>
      </c>
      <c r="D1622" t="str">
        <f>"248030300211"</f>
        <v>248030300211</v>
      </c>
      <c r="L1622">
        <v>2233</v>
      </c>
      <c r="M1622" t="s">
        <v>2335</v>
      </c>
      <c r="N1622" t="str">
        <f>"248030300211"</f>
        <v>248030300211</v>
      </c>
      <c r="O1622" t="str">
        <f>"460005199607060025"</f>
        <v>460005199607060025</v>
      </c>
    </row>
    <row r="1623" customFormat="1" spans="1:15">
      <c r="A1623">
        <v>2234</v>
      </c>
      <c r="B1623" t="s">
        <v>2336</v>
      </c>
      <c r="C1623" t="str">
        <f>"460025200205310627"</f>
        <v>460025200205310627</v>
      </c>
      <c r="D1623" t="str">
        <f>"248030401907"</f>
        <v>248030401907</v>
      </c>
      <c r="L1623">
        <v>2234</v>
      </c>
      <c r="M1623" t="s">
        <v>2336</v>
      </c>
      <c r="N1623" t="str">
        <f>"248030401907"</f>
        <v>248030401907</v>
      </c>
      <c r="O1623" t="str">
        <f>"460025200205310627"</f>
        <v>460025200205310627</v>
      </c>
    </row>
    <row r="1624" customFormat="1" spans="1:15">
      <c r="A1624">
        <v>2235</v>
      </c>
      <c r="B1624" t="s">
        <v>2337</v>
      </c>
      <c r="C1624" t="str">
        <f>"460106200011133817"</f>
        <v>460106200011133817</v>
      </c>
      <c r="L1624">
        <v>2235</v>
      </c>
      <c r="M1624" t="s">
        <v>2337</v>
      </c>
      <c r="O1624" t="str">
        <f>"460106200011133817"</f>
        <v>460106200011133817</v>
      </c>
    </row>
    <row r="1625" customFormat="1" spans="1:15">
      <c r="A1625">
        <v>2236</v>
      </c>
      <c r="B1625" t="s">
        <v>2338</v>
      </c>
      <c r="C1625" t="str">
        <f>"441301199803293123"</f>
        <v>441301199803293123</v>
      </c>
      <c r="D1625" t="str">
        <f>"248030101224"</f>
        <v>248030101224</v>
      </c>
      <c r="L1625">
        <v>2236</v>
      </c>
      <c r="M1625" t="s">
        <v>2338</v>
      </c>
      <c r="N1625" t="str">
        <f>"248030101224"</f>
        <v>248030101224</v>
      </c>
      <c r="O1625" t="str">
        <f>"441301199803293123"</f>
        <v>441301199803293123</v>
      </c>
    </row>
    <row r="1626" customFormat="1" spans="1:15">
      <c r="A1626">
        <v>2237</v>
      </c>
      <c r="B1626" t="s">
        <v>2261</v>
      </c>
      <c r="C1626" t="str">
        <f>"460104199504070924"</f>
        <v>460104199504070924</v>
      </c>
      <c r="D1626" t="str">
        <f>"248030404211"</f>
        <v>248030404211</v>
      </c>
      <c r="L1626">
        <v>2237</v>
      </c>
      <c r="M1626" t="s">
        <v>2261</v>
      </c>
      <c r="N1626" t="str">
        <f>"248030404211"</f>
        <v>248030404211</v>
      </c>
      <c r="O1626" t="str">
        <f>"460104199504070924"</f>
        <v>460104199504070924</v>
      </c>
    </row>
    <row r="1627" customFormat="1" spans="1:15">
      <c r="A1627">
        <v>2238</v>
      </c>
      <c r="B1627" t="s">
        <v>2339</v>
      </c>
      <c r="C1627" t="str">
        <f>"460028199811110020"</f>
        <v>460028199811110020</v>
      </c>
      <c r="D1627" t="str">
        <f>"248030104724"</f>
        <v>248030104724</v>
      </c>
      <c r="L1627">
        <v>2238</v>
      </c>
      <c r="M1627" t="s">
        <v>2339</v>
      </c>
      <c r="N1627" t="str">
        <f>"248030104724"</f>
        <v>248030104724</v>
      </c>
      <c r="O1627" t="str">
        <f>"460028199811110020"</f>
        <v>460028199811110020</v>
      </c>
    </row>
    <row r="1628" customFormat="1" spans="1:15">
      <c r="A1628">
        <v>2239</v>
      </c>
      <c r="B1628" t="s">
        <v>2340</v>
      </c>
      <c r="C1628" t="str">
        <f>"469007200103087626"</f>
        <v>469007200103087626</v>
      </c>
      <c r="D1628" t="str">
        <f>"248030500406"</f>
        <v>248030500406</v>
      </c>
      <c r="L1628">
        <v>2239</v>
      </c>
      <c r="M1628" t="s">
        <v>2340</v>
      </c>
      <c r="N1628" t="str">
        <f>"248030500406"</f>
        <v>248030500406</v>
      </c>
      <c r="O1628" t="str">
        <f>"469007200103087626"</f>
        <v>469007200103087626</v>
      </c>
    </row>
    <row r="1629" customFormat="1" spans="1:15">
      <c r="A1629">
        <v>2240</v>
      </c>
      <c r="B1629" t="s">
        <v>2341</v>
      </c>
      <c r="C1629" t="str">
        <f>"460002200104012220"</f>
        <v>460002200104012220</v>
      </c>
      <c r="D1629" t="str">
        <f>"248030401810"</f>
        <v>248030401810</v>
      </c>
      <c r="L1629">
        <v>2240</v>
      </c>
      <c r="M1629" t="s">
        <v>2341</v>
      </c>
      <c r="N1629" t="str">
        <f>"248030401810"</f>
        <v>248030401810</v>
      </c>
      <c r="O1629" t="str">
        <f>"460002200104012220"</f>
        <v>460002200104012220</v>
      </c>
    </row>
    <row r="1630" customFormat="1" spans="1:15">
      <c r="A1630">
        <v>2242</v>
      </c>
      <c r="B1630" t="s">
        <v>2342</v>
      </c>
      <c r="C1630" t="str">
        <f>"460002200109243220"</f>
        <v>460002200109243220</v>
      </c>
      <c r="D1630" t="str">
        <f>"248030301025"</f>
        <v>248030301025</v>
      </c>
      <c r="L1630">
        <v>2242</v>
      </c>
      <c r="M1630" t="s">
        <v>2342</v>
      </c>
      <c r="N1630" t="str">
        <f>"248030301025"</f>
        <v>248030301025</v>
      </c>
      <c r="O1630" t="str">
        <f>"460002200109243220"</f>
        <v>460002200109243220</v>
      </c>
    </row>
    <row r="1631" customFormat="1" spans="1:15">
      <c r="A1631">
        <v>2244</v>
      </c>
      <c r="B1631" t="s">
        <v>2343</v>
      </c>
      <c r="C1631" t="str">
        <f>"460006199708062325"</f>
        <v>460006199708062325</v>
      </c>
      <c r="D1631" t="str">
        <f>"248030400207"</f>
        <v>248030400207</v>
      </c>
      <c r="L1631">
        <v>2244</v>
      </c>
      <c r="M1631" t="s">
        <v>2343</v>
      </c>
      <c r="N1631" t="str">
        <f>"248030400207"</f>
        <v>248030400207</v>
      </c>
      <c r="O1631" t="str">
        <f>"460006199708062325"</f>
        <v>460006199708062325</v>
      </c>
    </row>
    <row r="1632" customFormat="1" spans="1:15">
      <c r="A1632">
        <v>2245</v>
      </c>
      <c r="B1632" t="s">
        <v>2344</v>
      </c>
      <c r="C1632" t="str">
        <f>"460002199904134626"</f>
        <v>460002199904134626</v>
      </c>
      <c r="D1632" t="str">
        <f>"248030103212"</f>
        <v>248030103212</v>
      </c>
      <c r="L1632">
        <v>2245</v>
      </c>
      <c r="M1632" t="s">
        <v>2344</v>
      </c>
      <c r="N1632" t="str">
        <f>"248030103212"</f>
        <v>248030103212</v>
      </c>
      <c r="O1632" t="str">
        <f>"460002199904134626"</f>
        <v>460002199904134626</v>
      </c>
    </row>
    <row r="1633" customFormat="1" spans="1:15">
      <c r="A1633">
        <v>2247</v>
      </c>
      <c r="B1633" t="s">
        <v>2345</v>
      </c>
      <c r="C1633" t="str">
        <f>"46000619980405443X"</f>
        <v>46000619980405443X</v>
      </c>
      <c r="D1633" t="str">
        <f>"248030104413"</f>
        <v>248030104413</v>
      </c>
      <c r="L1633">
        <v>2247</v>
      </c>
      <c r="M1633" t="s">
        <v>2345</v>
      </c>
      <c r="N1633" t="str">
        <f>"248030104413"</f>
        <v>248030104413</v>
      </c>
      <c r="O1633" t="str">
        <f>"46000619980405443X"</f>
        <v>46000619980405443X</v>
      </c>
    </row>
    <row r="1634" customFormat="1" spans="1:15">
      <c r="A1634">
        <v>2248</v>
      </c>
      <c r="B1634" t="s">
        <v>677</v>
      </c>
      <c r="C1634" t="str">
        <f>"460007200305100827"</f>
        <v>460007200305100827</v>
      </c>
      <c r="L1634">
        <v>2248</v>
      </c>
      <c r="M1634" t="s">
        <v>677</v>
      </c>
      <c r="O1634" t="str">
        <f>"460007200305100827"</f>
        <v>460007200305100827</v>
      </c>
    </row>
    <row r="1635" customFormat="1" spans="1:15">
      <c r="A1635">
        <v>2250</v>
      </c>
      <c r="B1635" t="s">
        <v>2346</v>
      </c>
      <c r="C1635" t="str">
        <f>"460003199708024020"</f>
        <v>460003199708024020</v>
      </c>
      <c r="D1635" t="str">
        <f>"248030300122"</f>
        <v>248030300122</v>
      </c>
      <c r="L1635">
        <v>2250</v>
      </c>
      <c r="M1635" t="s">
        <v>2346</v>
      </c>
      <c r="N1635" t="str">
        <f>"248030300122"</f>
        <v>248030300122</v>
      </c>
      <c r="O1635" t="str">
        <f>"460003199708024020"</f>
        <v>460003199708024020</v>
      </c>
    </row>
    <row r="1636" customFormat="1" spans="1:15">
      <c r="A1636">
        <v>2251</v>
      </c>
      <c r="B1636" t="s">
        <v>2347</v>
      </c>
      <c r="C1636" t="str">
        <f>"46002620021103002X"</f>
        <v>46002620021103002X</v>
      </c>
      <c r="D1636" t="str">
        <f>"248030300522"</f>
        <v>248030300522</v>
      </c>
      <c r="L1636">
        <v>2251</v>
      </c>
      <c r="M1636" t="s">
        <v>2347</v>
      </c>
      <c r="N1636" t="str">
        <f>"248030300522"</f>
        <v>248030300522</v>
      </c>
      <c r="O1636" t="str">
        <f>"46002620021103002X"</f>
        <v>46002620021103002X</v>
      </c>
    </row>
    <row r="1637" customFormat="1" spans="1:15">
      <c r="A1637">
        <v>2252</v>
      </c>
      <c r="B1637" t="s">
        <v>2348</v>
      </c>
      <c r="C1637" t="str">
        <f>"460027198512054726"</f>
        <v>460027198512054726</v>
      </c>
      <c r="L1637">
        <v>2252</v>
      </c>
      <c r="M1637" t="s">
        <v>2348</v>
      </c>
      <c r="O1637" t="str">
        <f>"460027198512054726"</f>
        <v>460027198512054726</v>
      </c>
    </row>
    <row r="1638" customFormat="1" spans="1:15">
      <c r="A1638">
        <v>2253</v>
      </c>
      <c r="B1638" t="s">
        <v>743</v>
      </c>
      <c r="C1638" t="str">
        <f>"460032199302187681"</f>
        <v>460032199302187681</v>
      </c>
      <c r="D1638" t="str">
        <f>"248030203717"</f>
        <v>248030203717</v>
      </c>
      <c r="L1638">
        <v>2253</v>
      </c>
      <c r="M1638" t="s">
        <v>743</v>
      </c>
      <c r="N1638" t="str">
        <f>"248030203717"</f>
        <v>248030203717</v>
      </c>
      <c r="O1638" t="str">
        <f>"460032199302187681"</f>
        <v>460032199302187681</v>
      </c>
    </row>
    <row r="1639" customFormat="1" spans="1:15">
      <c r="A1639">
        <v>2254</v>
      </c>
      <c r="B1639" t="s">
        <v>2349</v>
      </c>
      <c r="C1639" t="str">
        <f>"362228199008273145"</f>
        <v>362228199008273145</v>
      </c>
      <c r="D1639" t="str">
        <f>"248030503510"</f>
        <v>248030503510</v>
      </c>
      <c r="L1639">
        <v>2254</v>
      </c>
      <c r="M1639" t="s">
        <v>2349</v>
      </c>
      <c r="N1639" t="str">
        <f>"248030503510"</f>
        <v>248030503510</v>
      </c>
      <c r="O1639" t="str">
        <f>"362228199008273145"</f>
        <v>362228199008273145</v>
      </c>
    </row>
    <row r="1640" customFormat="1" spans="1:15">
      <c r="A1640">
        <v>2256</v>
      </c>
      <c r="B1640" t="s">
        <v>2350</v>
      </c>
      <c r="C1640" t="str">
        <f>"460006199405178726"</f>
        <v>460006199405178726</v>
      </c>
      <c r="D1640" t="str">
        <f>"248030102530"</f>
        <v>248030102530</v>
      </c>
      <c r="L1640">
        <v>2256</v>
      </c>
      <c r="M1640" t="s">
        <v>2350</v>
      </c>
      <c r="N1640" t="str">
        <f>"248030102530"</f>
        <v>248030102530</v>
      </c>
      <c r="O1640" t="str">
        <f>"460006199405178726"</f>
        <v>460006199405178726</v>
      </c>
    </row>
    <row r="1641" customFormat="1" spans="1:15">
      <c r="A1641">
        <v>2257</v>
      </c>
      <c r="B1641" t="s">
        <v>2351</v>
      </c>
      <c r="C1641" t="str">
        <f>"460027199006021328"</f>
        <v>460027199006021328</v>
      </c>
      <c r="L1641">
        <v>2257</v>
      </c>
      <c r="M1641" t="s">
        <v>2351</v>
      </c>
      <c r="O1641" t="str">
        <f>"460027199006021328"</f>
        <v>460027199006021328</v>
      </c>
    </row>
    <row r="1642" customFormat="1" spans="1:15">
      <c r="A1642">
        <v>2258</v>
      </c>
      <c r="B1642" t="s">
        <v>2352</v>
      </c>
      <c r="C1642" t="str">
        <f>"460003199309122440"</f>
        <v>460003199309122440</v>
      </c>
      <c r="D1642" t="str">
        <f>"248030401407"</f>
        <v>248030401407</v>
      </c>
      <c r="L1642">
        <v>2258</v>
      </c>
      <c r="M1642" t="s">
        <v>2352</v>
      </c>
      <c r="N1642" t="str">
        <f>"248030401407"</f>
        <v>248030401407</v>
      </c>
      <c r="O1642" t="str">
        <f>"460003199309122440"</f>
        <v>460003199309122440</v>
      </c>
    </row>
    <row r="1643" customFormat="1" spans="1:15">
      <c r="A1643">
        <v>2259</v>
      </c>
      <c r="B1643" t="s">
        <v>2353</v>
      </c>
      <c r="C1643" t="str">
        <f>"460200199309191405"</f>
        <v>460200199309191405</v>
      </c>
      <c r="D1643" t="str">
        <f>"248030100623"</f>
        <v>248030100623</v>
      </c>
      <c r="L1643">
        <v>2259</v>
      </c>
      <c r="M1643" t="s">
        <v>2353</v>
      </c>
      <c r="N1643" t="str">
        <f>"248030100623"</f>
        <v>248030100623</v>
      </c>
      <c r="O1643" t="str">
        <f>"460200199309191405"</f>
        <v>460200199309191405</v>
      </c>
    </row>
    <row r="1644" customFormat="1" spans="1:15">
      <c r="A1644">
        <v>2260</v>
      </c>
      <c r="B1644" t="s">
        <v>2354</v>
      </c>
      <c r="C1644" t="str">
        <f>"460031199912040824"</f>
        <v>460031199912040824</v>
      </c>
      <c r="D1644" t="str">
        <f>"248030102902"</f>
        <v>248030102902</v>
      </c>
      <c r="L1644">
        <v>2260</v>
      </c>
      <c r="M1644" t="s">
        <v>2354</v>
      </c>
      <c r="N1644" t="str">
        <f>"248030102902"</f>
        <v>248030102902</v>
      </c>
      <c r="O1644" t="str">
        <f>"460031199912040824"</f>
        <v>460031199912040824</v>
      </c>
    </row>
    <row r="1645" customFormat="1" spans="1:15">
      <c r="A1645">
        <v>2261</v>
      </c>
      <c r="B1645" t="s">
        <v>2355</v>
      </c>
      <c r="C1645" t="str">
        <f>"513002199508100413"</f>
        <v>513002199508100413</v>
      </c>
      <c r="D1645" t="str">
        <f>"248030201826"</f>
        <v>248030201826</v>
      </c>
      <c r="L1645">
        <v>2261</v>
      </c>
      <c r="M1645" t="s">
        <v>2355</v>
      </c>
      <c r="N1645" t="str">
        <f>"248030201826"</f>
        <v>248030201826</v>
      </c>
      <c r="O1645" t="str">
        <f>"513002199508100413"</f>
        <v>513002199508100413</v>
      </c>
    </row>
    <row r="1646" customFormat="1" spans="1:15">
      <c r="A1646">
        <v>2262</v>
      </c>
      <c r="B1646" t="s">
        <v>2356</v>
      </c>
      <c r="C1646" t="str">
        <f>"460028199209305247"</f>
        <v>460028199209305247</v>
      </c>
      <c r="D1646" t="str">
        <f>"248030102629"</f>
        <v>248030102629</v>
      </c>
      <c r="L1646">
        <v>2262</v>
      </c>
      <c r="M1646" t="s">
        <v>2356</v>
      </c>
      <c r="N1646" t="str">
        <f>"248030102629"</f>
        <v>248030102629</v>
      </c>
      <c r="O1646" t="str">
        <f>"460028199209305247"</f>
        <v>460028199209305247</v>
      </c>
    </row>
    <row r="1647" customFormat="1" spans="1:15">
      <c r="A1647">
        <v>2263</v>
      </c>
      <c r="B1647" t="s">
        <v>2357</v>
      </c>
      <c r="C1647" t="str">
        <f>"532130199612251143"</f>
        <v>532130199612251143</v>
      </c>
      <c r="D1647" t="str">
        <f>"248030402129"</f>
        <v>248030402129</v>
      </c>
      <c r="L1647">
        <v>2263</v>
      </c>
      <c r="M1647" t="s">
        <v>2357</v>
      </c>
      <c r="N1647" t="str">
        <f>"248030402129"</f>
        <v>248030402129</v>
      </c>
      <c r="O1647" t="str">
        <f>"532130199612251143"</f>
        <v>532130199612251143</v>
      </c>
    </row>
    <row r="1648" customFormat="1" spans="1:15">
      <c r="A1648">
        <v>2265</v>
      </c>
      <c r="B1648" t="s">
        <v>750</v>
      </c>
      <c r="C1648" t="str">
        <f>"460004199602012044"</f>
        <v>460004199602012044</v>
      </c>
      <c r="D1648" t="str">
        <f>"248030100807"</f>
        <v>248030100807</v>
      </c>
      <c r="L1648">
        <v>2265</v>
      </c>
      <c r="M1648" t="s">
        <v>750</v>
      </c>
      <c r="N1648" t="str">
        <f>"248030100807"</f>
        <v>248030100807</v>
      </c>
      <c r="O1648" t="str">
        <f>"460004199602012044"</f>
        <v>460004199602012044</v>
      </c>
    </row>
    <row r="1649" customFormat="1" spans="1:15">
      <c r="A1649">
        <v>2266</v>
      </c>
      <c r="B1649" t="s">
        <v>2358</v>
      </c>
      <c r="C1649" t="str">
        <f>"460003199906230423"</f>
        <v>460003199906230423</v>
      </c>
      <c r="D1649" t="str">
        <f>"248030101322"</f>
        <v>248030101322</v>
      </c>
      <c r="L1649">
        <v>2266</v>
      </c>
      <c r="M1649" t="s">
        <v>2358</v>
      </c>
      <c r="N1649" t="str">
        <f>"248030101322"</f>
        <v>248030101322</v>
      </c>
      <c r="O1649" t="str">
        <f>"460003199906230423"</f>
        <v>460003199906230423</v>
      </c>
    </row>
    <row r="1650" customFormat="1" spans="1:15">
      <c r="A1650">
        <v>2267</v>
      </c>
      <c r="B1650" t="s">
        <v>2359</v>
      </c>
      <c r="C1650" t="str">
        <f>"460031199110104021"</f>
        <v>460031199110104021</v>
      </c>
      <c r="D1650" t="str">
        <f>"248030101814"</f>
        <v>248030101814</v>
      </c>
      <c r="L1650">
        <v>2267</v>
      </c>
      <c r="M1650" t="s">
        <v>2359</v>
      </c>
      <c r="N1650" t="str">
        <f>"248030101814"</f>
        <v>248030101814</v>
      </c>
      <c r="O1650" t="str">
        <f>"460031199110104021"</f>
        <v>460031199110104021</v>
      </c>
    </row>
    <row r="1651" customFormat="1" spans="1:15">
      <c r="A1651">
        <v>2270</v>
      </c>
      <c r="B1651" t="s">
        <v>2360</v>
      </c>
      <c r="C1651" t="str">
        <f>"460033200012314189"</f>
        <v>460033200012314189</v>
      </c>
      <c r="D1651" t="str">
        <f>"248030500330"</f>
        <v>248030500330</v>
      </c>
      <c r="L1651">
        <v>2270</v>
      </c>
      <c r="M1651" t="s">
        <v>2360</v>
      </c>
      <c r="N1651" t="str">
        <f>"248030500330"</f>
        <v>248030500330</v>
      </c>
      <c r="O1651" t="str">
        <f>"460033200012314189"</f>
        <v>460033200012314189</v>
      </c>
    </row>
    <row r="1652" customFormat="1" spans="1:15">
      <c r="A1652">
        <v>2271</v>
      </c>
      <c r="B1652" t="s">
        <v>2361</v>
      </c>
      <c r="C1652" t="str">
        <f>"46000620020424872X"</f>
        <v>46000620020424872X</v>
      </c>
      <c r="D1652" t="str">
        <f>"248030501525"</f>
        <v>248030501525</v>
      </c>
      <c r="L1652">
        <v>2271</v>
      </c>
      <c r="M1652" t="s">
        <v>2361</v>
      </c>
      <c r="N1652" t="str">
        <f>"248030501525"</f>
        <v>248030501525</v>
      </c>
      <c r="O1652" t="str">
        <f>"46000620020424872X"</f>
        <v>46000620020424872X</v>
      </c>
    </row>
    <row r="1653" customFormat="1" spans="1:15">
      <c r="A1653">
        <v>2273</v>
      </c>
      <c r="B1653" t="s">
        <v>2362</v>
      </c>
      <c r="C1653" t="str">
        <f>"460026199711201248"</f>
        <v>460026199711201248</v>
      </c>
      <c r="D1653" t="str">
        <f>"248030402310"</f>
        <v>248030402310</v>
      </c>
      <c r="L1653">
        <v>2273</v>
      </c>
      <c r="M1653" t="s">
        <v>2362</v>
      </c>
      <c r="N1653" t="str">
        <f>"248030402310"</f>
        <v>248030402310</v>
      </c>
      <c r="O1653" t="str">
        <f>"460026199711201248"</f>
        <v>460026199711201248</v>
      </c>
    </row>
    <row r="1654" customFormat="1" spans="1:15">
      <c r="A1654">
        <v>2274</v>
      </c>
      <c r="B1654" t="s">
        <v>232</v>
      </c>
      <c r="C1654" t="str">
        <f>"43052420000926442X"</f>
        <v>43052420000926442X</v>
      </c>
      <c r="D1654" t="str">
        <f>"248030203204"</f>
        <v>248030203204</v>
      </c>
      <c r="L1654">
        <v>2274</v>
      </c>
      <c r="M1654" t="s">
        <v>232</v>
      </c>
      <c r="N1654" t="str">
        <f>"248030203204"</f>
        <v>248030203204</v>
      </c>
      <c r="O1654" t="str">
        <f>"43052420000926442X"</f>
        <v>43052420000926442X</v>
      </c>
    </row>
    <row r="1655" customFormat="1" spans="1:15">
      <c r="A1655">
        <v>2275</v>
      </c>
      <c r="B1655" t="s">
        <v>2363</v>
      </c>
      <c r="C1655" t="str">
        <f>"460300198911160629"</f>
        <v>460300198911160629</v>
      </c>
      <c r="D1655" t="str">
        <f>"248030503127"</f>
        <v>248030503127</v>
      </c>
      <c r="L1655">
        <v>2275</v>
      </c>
      <c r="M1655" t="s">
        <v>2363</v>
      </c>
      <c r="N1655" t="str">
        <f>"248030503127"</f>
        <v>248030503127</v>
      </c>
      <c r="O1655" t="str">
        <f>"460300198911160629"</f>
        <v>460300198911160629</v>
      </c>
    </row>
    <row r="1656" customFormat="1" spans="1:15">
      <c r="A1656">
        <v>2276</v>
      </c>
      <c r="B1656" t="s">
        <v>2364</v>
      </c>
      <c r="C1656" t="str">
        <f>"460022199910232340"</f>
        <v>460022199910232340</v>
      </c>
      <c r="D1656" t="str">
        <f>"248030503022"</f>
        <v>248030503022</v>
      </c>
      <c r="L1656">
        <v>2276</v>
      </c>
      <c r="M1656" t="s">
        <v>2364</v>
      </c>
      <c r="N1656" t="str">
        <f>"248030503022"</f>
        <v>248030503022</v>
      </c>
      <c r="O1656" t="str">
        <f>"460022199910232340"</f>
        <v>460022199910232340</v>
      </c>
    </row>
    <row r="1657" customFormat="1" spans="1:15">
      <c r="A1657">
        <v>2278</v>
      </c>
      <c r="B1657" t="s">
        <v>2365</v>
      </c>
      <c r="C1657" t="str">
        <f>"532621199711031526"</f>
        <v>532621199711031526</v>
      </c>
      <c r="L1657">
        <v>2278</v>
      </c>
      <c r="M1657" t="s">
        <v>2365</v>
      </c>
      <c r="O1657" t="str">
        <f>"532621199711031526"</f>
        <v>532621199711031526</v>
      </c>
    </row>
    <row r="1658" customFormat="1" spans="1:15">
      <c r="A1658">
        <v>2280</v>
      </c>
      <c r="B1658" t="s">
        <v>1141</v>
      </c>
      <c r="C1658" t="str">
        <f>"411328199909098291"</f>
        <v>411328199909098291</v>
      </c>
      <c r="L1658">
        <v>2280</v>
      </c>
      <c r="M1658" t="s">
        <v>1141</v>
      </c>
      <c r="O1658" t="str">
        <f>"411328199909098291"</f>
        <v>411328199909098291</v>
      </c>
    </row>
    <row r="1659" customFormat="1" spans="1:15">
      <c r="A1659">
        <v>2281</v>
      </c>
      <c r="B1659" t="s">
        <v>2366</v>
      </c>
      <c r="C1659" t="str">
        <f>"460003199803202825"</f>
        <v>460003199803202825</v>
      </c>
      <c r="D1659" t="str">
        <f>"248030504118"</f>
        <v>248030504118</v>
      </c>
      <c r="L1659">
        <v>2281</v>
      </c>
      <c r="M1659" t="s">
        <v>2366</v>
      </c>
      <c r="N1659" t="str">
        <f>"248030504118"</f>
        <v>248030504118</v>
      </c>
      <c r="O1659" t="str">
        <f>"460003199803202825"</f>
        <v>460003199803202825</v>
      </c>
    </row>
    <row r="1660" customFormat="1" spans="1:15">
      <c r="A1660">
        <v>2282</v>
      </c>
      <c r="B1660" t="s">
        <v>2367</v>
      </c>
      <c r="C1660" t="str">
        <f>"460105200211087126"</f>
        <v>460105200211087126</v>
      </c>
      <c r="D1660" t="str">
        <f>"248030500521"</f>
        <v>248030500521</v>
      </c>
      <c r="L1660">
        <v>2282</v>
      </c>
      <c r="M1660" t="s">
        <v>2367</v>
      </c>
      <c r="N1660" t="str">
        <f>"248030500521"</f>
        <v>248030500521</v>
      </c>
      <c r="O1660" t="str">
        <f>"460105200211087126"</f>
        <v>460105200211087126</v>
      </c>
    </row>
    <row r="1661" customFormat="1" spans="1:15">
      <c r="A1661">
        <v>2283</v>
      </c>
      <c r="B1661" t="s">
        <v>2368</v>
      </c>
      <c r="C1661" t="str">
        <f>"460200199609121409"</f>
        <v>460200199609121409</v>
      </c>
      <c r="D1661" t="str">
        <f>"248030502029"</f>
        <v>248030502029</v>
      </c>
      <c r="L1661">
        <v>2283</v>
      </c>
      <c r="M1661" t="s">
        <v>2368</v>
      </c>
      <c r="N1661" t="str">
        <f>"248030502029"</f>
        <v>248030502029</v>
      </c>
      <c r="O1661" t="str">
        <f>"460200199609121409"</f>
        <v>460200199609121409</v>
      </c>
    </row>
    <row r="1662" customFormat="1" spans="1:15">
      <c r="A1662">
        <v>2284</v>
      </c>
      <c r="B1662" t="s">
        <v>2369</v>
      </c>
      <c r="C1662" t="str">
        <f>"460033199805253608"</f>
        <v>460033199805253608</v>
      </c>
      <c r="D1662" t="str">
        <f>"248030300223"</f>
        <v>248030300223</v>
      </c>
      <c r="L1662">
        <v>2284</v>
      </c>
      <c r="M1662" t="s">
        <v>2369</v>
      </c>
      <c r="N1662" t="str">
        <f>"248030300223"</f>
        <v>248030300223</v>
      </c>
      <c r="O1662" t="str">
        <f>"460033199805253608"</f>
        <v>460033199805253608</v>
      </c>
    </row>
    <row r="1663" customFormat="1" spans="1:15">
      <c r="A1663">
        <v>2285</v>
      </c>
      <c r="B1663" t="s">
        <v>2370</v>
      </c>
      <c r="C1663" t="str">
        <f>"412822199808226282"</f>
        <v>412822199808226282</v>
      </c>
      <c r="L1663">
        <v>2285</v>
      </c>
      <c r="M1663" t="s">
        <v>2370</v>
      </c>
      <c r="O1663" t="str">
        <f>"412822199808226282"</f>
        <v>412822199808226282</v>
      </c>
    </row>
    <row r="1664" customFormat="1" spans="1:15">
      <c r="A1664">
        <v>2286</v>
      </c>
      <c r="B1664" t="s">
        <v>2371</v>
      </c>
      <c r="C1664" t="str">
        <f>"460001199907231919"</f>
        <v>460001199907231919</v>
      </c>
      <c r="D1664" t="str">
        <f>"248030201928"</f>
        <v>248030201928</v>
      </c>
      <c r="L1664">
        <v>2286</v>
      </c>
      <c r="M1664" t="s">
        <v>2371</v>
      </c>
      <c r="N1664" t="str">
        <f>"248030201928"</f>
        <v>248030201928</v>
      </c>
      <c r="O1664" t="str">
        <f>"460001199907231919"</f>
        <v>460001199907231919</v>
      </c>
    </row>
    <row r="1665" customFormat="1" spans="1:15">
      <c r="A1665">
        <v>2287</v>
      </c>
      <c r="B1665" t="s">
        <v>2372</v>
      </c>
      <c r="C1665" t="str">
        <f>"460102200103161828"</f>
        <v>460102200103161828</v>
      </c>
      <c r="D1665" t="str">
        <f>"248030300717"</f>
        <v>248030300717</v>
      </c>
      <c r="L1665">
        <v>2287</v>
      </c>
      <c r="M1665" t="s">
        <v>2372</v>
      </c>
      <c r="N1665" t="str">
        <f>"248030300717"</f>
        <v>248030300717</v>
      </c>
      <c r="O1665" t="str">
        <f>"460102200103161828"</f>
        <v>460102200103161828</v>
      </c>
    </row>
    <row r="1666" customFormat="1" spans="1:15">
      <c r="A1666">
        <v>2290</v>
      </c>
      <c r="B1666" t="s">
        <v>2373</v>
      </c>
      <c r="C1666" t="str">
        <f>"460028198906266023"</f>
        <v>460028198906266023</v>
      </c>
      <c r="D1666" t="str">
        <f>"248030200803"</f>
        <v>248030200803</v>
      </c>
      <c r="L1666">
        <v>2290</v>
      </c>
      <c r="M1666" t="s">
        <v>2373</v>
      </c>
      <c r="N1666" t="str">
        <f>"248030200803"</f>
        <v>248030200803</v>
      </c>
      <c r="O1666" t="str">
        <f>"460028198906266023"</f>
        <v>460028198906266023</v>
      </c>
    </row>
    <row r="1667" customFormat="1" spans="1:15">
      <c r="A1667">
        <v>2292</v>
      </c>
      <c r="B1667" t="s">
        <v>2374</v>
      </c>
      <c r="C1667" t="str">
        <f>"410402199504275561"</f>
        <v>410402199504275561</v>
      </c>
      <c r="L1667">
        <v>2292</v>
      </c>
      <c r="M1667" t="s">
        <v>2374</v>
      </c>
      <c r="O1667" t="str">
        <f>"410402199504275561"</f>
        <v>410402199504275561</v>
      </c>
    </row>
    <row r="1668" customFormat="1" spans="1:15">
      <c r="A1668">
        <v>2294</v>
      </c>
      <c r="B1668" t="s">
        <v>2375</v>
      </c>
      <c r="C1668" t="str">
        <f>"410881198808158527"</f>
        <v>410881198808158527</v>
      </c>
      <c r="L1668">
        <v>2294</v>
      </c>
      <c r="M1668" t="s">
        <v>2375</v>
      </c>
      <c r="O1668" t="str">
        <f>"410881198808158527"</f>
        <v>410881198808158527</v>
      </c>
    </row>
    <row r="1669" customFormat="1" spans="1:15">
      <c r="A1669">
        <v>2295</v>
      </c>
      <c r="B1669" t="s">
        <v>2376</v>
      </c>
      <c r="C1669" t="str">
        <f>"513701199610245522"</f>
        <v>513701199610245522</v>
      </c>
      <c r="D1669" t="str">
        <f>"248030300230"</f>
        <v>248030300230</v>
      </c>
      <c r="L1669">
        <v>2295</v>
      </c>
      <c r="M1669" t="s">
        <v>2376</v>
      </c>
      <c r="N1669" t="str">
        <f>"248030300230"</f>
        <v>248030300230</v>
      </c>
      <c r="O1669" t="str">
        <f>"513701199610245522"</f>
        <v>513701199610245522</v>
      </c>
    </row>
    <row r="1670" customFormat="1" spans="1:15">
      <c r="A1670">
        <v>2296</v>
      </c>
      <c r="B1670" t="s">
        <v>2377</v>
      </c>
      <c r="C1670" t="str">
        <f>"469026200008101628"</f>
        <v>469026200008101628</v>
      </c>
      <c r="L1670">
        <v>2296</v>
      </c>
      <c r="M1670" t="s">
        <v>2377</v>
      </c>
      <c r="O1670" t="str">
        <f>"469026200008101628"</f>
        <v>469026200008101628</v>
      </c>
    </row>
    <row r="1671" customFormat="1" spans="1:15">
      <c r="A1671">
        <v>2297</v>
      </c>
      <c r="B1671" t="s">
        <v>2378</v>
      </c>
      <c r="C1671" t="str">
        <f>"460002199603125646"</f>
        <v>460002199603125646</v>
      </c>
      <c r="D1671" t="str">
        <f>"248030301402"</f>
        <v>248030301402</v>
      </c>
      <c r="L1671">
        <v>2297</v>
      </c>
      <c r="M1671" t="s">
        <v>2378</v>
      </c>
      <c r="N1671" t="str">
        <f>"248030301402"</f>
        <v>248030301402</v>
      </c>
      <c r="O1671" t="str">
        <f>"460002199603125646"</f>
        <v>460002199603125646</v>
      </c>
    </row>
    <row r="1672" customFormat="1" spans="1:15">
      <c r="A1672">
        <v>2298</v>
      </c>
      <c r="B1672" t="s">
        <v>2379</v>
      </c>
      <c r="C1672" t="str">
        <f>"460006199704026829"</f>
        <v>460006199704026829</v>
      </c>
      <c r="D1672" t="str">
        <f>"248030100329"</f>
        <v>248030100329</v>
      </c>
      <c r="L1672">
        <v>2298</v>
      </c>
      <c r="M1672" t="s">
        <v>2379</v>
      </c>
      <c r="N1672" t="str">
        <f>"248030100329"</f>
        <v>248030100329</v>
      </c>
      <c r="O1672" t="str">
        <f>"460006199704026829"</f>
        <v>460006199704026829</v>
      </c>
    </row>
    <row r="1673" customFormat="1" spans="1:15">
      <c r="A1673">
        <v>2299</v>
      </c>
      <c r="B1673" t="s">
        <v>2380</v>
      </c>
      <c r="C1673" t="str">
        <f>"46003020001017542X"</f>
        <v>46003020001017542X</v>
      </c>
      <c r="D1673" t="str">
        <f>"248030300511"</f>
        <v>248030300511</v>
      </c>
      <c r="L1673">
        <v>2299</v>
      </c>
      <c r="M1673" t="s">
        <v>2380</v>
      </c>
      <c r="N1673" t="str">
        <f>"248030300511"</f>
        <v>248030300511</v>
      </c>
      <c r="O1673" t="str">
        <f>"46003020001017542X"</f>
        <v>46003020001017542X</v>
      </c>
    </row>
    <row r="1674" customFormat="1" spans="1:15">
      <c r="A1674">
        <v>2300</v>
      </c>
      <c r="B1674" t="s">
        <v>2381</v>
      </c>
      <c r="C1674" t="str">
        <f>"460004199911175226"</f>
        <v>460004199911175226</v>
      </c>
      <c r="L1674">
        <v>2300</v>
      </c>
      <c r="M1674" t="s">
        <v>2381</v>
      </c>
      <c r="O1674" t="str">
        <f>"460004199911175226"</f>
        <v>460004199911175226</v>
      </c>
    </row>
    <row r="1675" customFormat="1" spans="1:15">
      <c r="A1675">
        <v>2301</v>
      </c>
      <c r="B1675" t="s">
        <v>2382</v>
      </c>
      <c r="C1675" t="str">
        <f>"46000319970318464X"</f>
        <v>46000319970318464X</v>
      </c>
      <c r="D1675" t="str">
        <f>"248030101916"</f>
        <v>248030101916</v>
      </c>
      <c r="L1675">
        <v>2301</v>
      </c>
      <c r="M1675" t="s">
        <v>2382</v>
      </c>
      <c r="N1675" t="str">
        <f>"248030101916"</f>
        <v>248030101916</v>
      </c>
      <c r="O1675" t="str">
        <f>"46000319970318464X"</f>
        <v>46000319970318464X</v>
      </c>
    </row>
    <row r="1676" customFormat="1" spans="1:15">
      <c r="A1676">
        <v>2302</v>
      </c>
      <c r="B1676" t="s">
        <v>2383</v>
      </c>
      <c r="C1676" t="str">
        <f>"460026199111142424"</f>
        <v>460026199111142424</v>
      </c>
      <c r="D1676" t="str">
        <f>"248030500609"</f>
        <v>248030500609</v>
      </c>
      <c r="L1676">
        <v>2302</v>
      </c>
      <c r="M1676" t="s">
        <v>2383</v>
      </c>
      <c r="N1676" t="str">
        <f>"248030500609"</f>
        <v>248030500609</v>
      </c>
      <c r="O1676" t="str">
        <f>"460026199111142424"</f>
        <v>460026199111142424</v>
      </c>
    </row>
    <row r="1677" customFormat="1" spans="1:15">
      <c r="A1677">
        <v>2304</v>
      </c>
      <c r="B1677" t="s">
        <v>2384</v>
      </c>
      <c r="C1677" t="str">
        <f>"460006200305182328"</f>
        <v>460006200305182328</v>
      </c>
      <c r="D1677" t="str">
        <f>"248030301606"</f>
        <v>248030301606</v>
      </c>
      <c r="L1677">
        <v>2304</v>
      </c>
      <c r="M1677" t="s">
        <v>2384</v>
      </c>
      <c r="N1677" t="str">
        <f>"248030301606"</f>
        <v>248030301606</v>
      </c>
      <c r="O1677" t="str">
        <f>"460006200305182328"</f>
        <v>460006200305182328</v>
      </c>
    </row>
    <row r="1678" customFormat="1" spans="1:15">
      <c r="A1678">
        <v>2305</v>
      </c>
      <c r="B1678" t="s">
        <v>2385</v>
      </c>
      <c r="C1678" t="str">
        <f>"469027199908253249"</f>
        <v>469027199908253249</v>
      </c>
      <c r="D1678" t="str">
        <f>"248030502809"</f>
        <v>248030502809</v>
      </c>
      <c r="L1678">
        <v>2305</v>
      </c>
      <c r="M1678" t="s">
        <v>2385</v>
      </c>
      <c r="N1678" t="str">
        <f>"248030502809"</f>
        <v>248030502809</v>
      </c>
      <c r="O1678" t="str">
        <f>"469027199908253249"</f>
        <v>469027199908253249</v>
      </c>
    </row>
    <row r="1679" customFormat="1" spans="1:15">
      <c r="A1679">
        <v>2306</v>
      </c>
      <c r="B1679" t="s">
        <v>2386</v>
      </c>
      <c r="C1679" t="str">
        <f>"230203199503261215"</f>
        <v>230203199503261215</v>
      </c>
      <c r="D1679" t="str">
        <f>"248030201507"</f>
        <v>248030201507</v>
      </c>
      <c r="L1679">
        <v>2306</v>
      </c>
      <c r="M1679" t="s">
        <v>2386</v>
      </c>
      <c r="N1679" t="str">
        <f>"248030201507"</f>
        <v>248030201507</v>
      </c>
      <c r="O1679" t="str">
        <f>"230203199503261215"</f>
        <v>230203199503261215</v>
      </c>
    </row>
    <row r="1680" customFormat="1" spans="1:15">
      <c r="A1680">
        <v>2309</v>
      </c>
      <c r="B1680" t="s">
        <v>382</v>
      </c>
      <c r="C1680" t="str">
        <f>"460200200208120523"</f>
        <v>460200200208120523</v>
      </c>
      <c r="D1680" t="str">
        <f>"248030403122"</f>
        <v>248030403122</v>
      </c>
      <c r="L1680">
        <v>2309</v>
      </c>
      <c r="M1680" t="s">
        <v>382</v>
      </c>
      <c r="N1680" t="str">
        <f>"248030403122"</f>
        <v>248030403122</v>
      </c>
      <c r="O1680" t="str">
        <f>"460200200208120523"</f>
        <v>460200200208120523</v>
      </c>
    </row>
    <row r="1681" customFormat="1" spans="1:15">
      <c r="A1681">
        <v>2310</v>
      </c>
      <c r="B1681" t="s">
        <v>2387</v>
      </c>
      <c r="C1681" t="str">
        <f>"460027199404106247"</f>
        <v>460027199404106247</v>
      </c>
      <c r="D1681" t="str">
        <f>"248030404305"</f>
        <v>248030404305</v>
      </c>
      <c r="L1681">
        <v>2310</v>
      </c>
      <c r="M1681" t="s">
        <v>2387</v>
      </c>
      <c r="N1681" t="str">
        <f>"248030404305"</f>
        <v>248030404305</v>
      </c>
      <c r="O1681" t="str">
        <f>"460027199404106247"</f>
        <v>460027199404106247</v>
      </c>
    </row>
    <row r="1682" customFormat="1" spans="1:15">
      <c r="A1682">
        <v>2313</v>
      </c>
      <c r="B1682" t="s">
        <v>2388</v>
      </c>
      <c r="C1682" t="str">
        <f>"460030199507155728"</f>
        <v>460030199507155728</v>
      </c>
      <c r="D1682" t="str">
        <f>"248030400604"</f>
        <v>248030400604</v>
      </c>
      <c r="L1682">
        <v>2313</v>
      </c>
      <c r="M1682" t="s">
        <v>2388</v>
      </c>
      <c r="N1682" t="str">
        <f>"248030400604"</f>
        <v>248030400604</v>
      </c>
      <c r="O1682" t="str">
        <f>"460030199507155728"</f>
        <v>460030199507155728</v>
      </c>
    </row>
    <row r="1683" customFormat="1" spans="1:15">
      <c r="A1683">
        <v>2315</v>
      </c>
      <c r="B1683" t="s">
        <v>2389</v>
      </c>
      <c r="C1683" t="str">
        <f>"460027199511171343"</f>
        <v>460027199511171343</v>
      </c>
      <c r="D1683" t="str">
        <f>"248030300809"</f>
        <v>248030300809</v>
      </c>
      <c r="L1683">
        <v>2315</v>
      </c>
      <c r="M1683" t="s">
        <v>2389</v>
      </c>
      <c r="N1683" t="str">
        <f>"248030300809"</f>
        <v>248030300809</v>
      </c>
      <c r="O1683" t="str">
        <f>"460027199511171343"</f>
        <v>460027199511171343</v>
      </c>
    </row>
    <row r="1684" customFormat="1" spans="1:15">
      <c r="A1684">
        <v>2317</v>
      </c>
      <c r="B1684" t="s">
        <v>2390</v>
      </c>
      <c r="C1684" t="str">
        <f>"460002199001156429"</f>
        <v>460002199001156429</v>
      </c>
      <c r="D1684" t="str">
        <f>"248030300418"</f>
        <v>248030300418</v>
      </c>
      <c r="L1684">
        <v>2317</v>
      </c>
      <c r="M1684" t="s">
        <v>2390</v>
      </c>
      <c r="N1684" t="str">
        <f>"248030300418"</f>
        <v>248030300418</v>
      </c>
      <c r="O1684" t="str">
        <f>"460002199001156429"</f>
        <v>460002199001156429</v>
      </c>
    </row>
    <row r="1685" customFormat="1" spans="1:15">
      <c r="A1685">
        <v>2320</v>
      </c>
      <c r="B1685" t="s">
        <v>372</v>
      </c>
      <c r="C1685" t="str">
        <f>"460102198707052729"</f>
        <v>460102198707052729</v>
      </c>
      <c r="D1685" t="str">
        <f>"248030401724"</f>
        <v>248030401724</v>
      </c>
      <c r="L1685">
        <v>2320</v>
      </c>
      <c r="M1685" t="s">
        <v>372</v>
      </c>
      <c r="N1685" t="str">
        <f>"248030401724"</f>
        <v>248030401724</v>
      </c>
      <c r="O1685" t="str">
        <f>"460102198707052729"</f>
        <v>460102198707052729</v>
      </c>
    </row>
    <row r="1686" customFormat="1" spans="1:15">
      <c r="A1686">
        <v>2321</v>
      </c>
      <c r="B1686" t="s">
        <v>2391</v>
      </c>
      <c r="C1686" t="str">
        <f>"460103200009302723"</f>
        <v>460103200009302723</v>
      </c>
      <c r="D1686" t="str">
        <f>"248030500523"</f>
        <v>248030500523</v>
      </c>
      <c r="L1686">
        <v>2321</v>
      </c>
      <c r="M1686" t="s">
        <v>2391</v>
      </c>
      <c r="N1686" t="str">
        <f>"248030500523"</f>
        <v>248030500523</v>
      </c>
      <c r="O1686" t="str">
        <f>"460103200009302723"</f>
        <v>460103200009302723</v>
      </c>
    </row>
    <row r="1687" customFormat="1" spans="1:15">
      <c r="A1687">
        <v>2322</v>
      </c>
      <c r="B1687" t="s">
        <v>587</v>
      </c>
      <c r="C1687" t="str">
        <f>"460002199307146629"</f>
        <v>460002199307146629</v>
      </c>
      <c r="D1687" t="str">
        <f>"248030202513"</f>
        <v>248030202513</v>
      </c>
      <c r="L1687">
        <v>2322</v>
      </c>
      <c r="M1687" t="s">
        <v>587</v>
      </c>
      <c r="N1687" t="str">
        <f>"248030202513"</f>
        <v>248030202513</v>
      </c>
      <c r="O1687" t="str">
        <f>"460002199307146629"</f>
        <v>460002199307146629</v>
      </c>
    </row>
    <row r="1688" customFormat="1" spans="1:15">
      <c r="A1688">
        <v>2323</v>
      </c>
      <c r="B1688" t="s">
        <v>2392</v>
      </c>
      <c r="C1688" t="str">
        <f>"460102199008210657"</f>
        <v>460102199008210657</v>
      </c>
      <c r="D1688" t="str">
        <f>"248030301805"</f>
        <v>248030301805</v>
      </c>
      <c r="L1688">
        <v>2323</v>
      </c>
      <c r="M1688" t="s">
        <v>2392</v>
      </c>
      <c r="N1688" t="str">
        <f>"248030301805"</f>
        <v>248030301805</v>
      </c>
      <c r="O1688" t="str">
        <f>"460102199008210657"</f>
        <v>460102199008210657</v>
      </c>
    </row>
    <row r="1689" customFormat="1" spans="1:15">
      <c r="A1689">
        <v>2324</v>
      </c>
      <c r="B1689" t="s">
        <v>2393</v>
      </c>
      <c r="C1689" t="str">
        <f>"413026198512288722"</f>
        <v>413026198512288722</v>
      </c>
      <c r="D1689" t="str">
        <f>"248030400915"</f>
        <v>248030400915</v>
      </c>
      <c r="L1689">
        <v>2324</v>
      </c>
      <c r="M1689" t="s">
        <v>2393</v>
      </c>
      <c r="N1689" t="str">
        <f>"248030400915"</f>
        <v>248030400915</v>
      </c>
      <c r="O1689" t="str">
        <f>"413026198512288722"</f>
        <v>413026198512288722</v>
      </c>
    </row>
    <row r="1690" customFormat="1" spans="1:15">
      <c r="A1690">
        <v>2325</v>
      </c>
      <c r="B1690" t="s">
        <v>2394</v>
      </c>
      <c r="C1690" t="str">
        <f>"460103200107241223"</f>
        <v>460103200107241223</v>
      </c>
      <c r="D1690" t="str">
        <f>"248030102812"</f>
        <v>248030102812</v>
      </c>
      <c r="L1690">
        <v>2325</v>
      </c>
      <c r="M1690" t="s">
        <v>2394</v>
      </c>
      <c r="N1690" t="str">
        <f>"248030102812"</f>
        <v>248030102812</v>
      </c>
      <c r="O1690" t="str">
        <f>"460103200107241223"</f>
        <v>460103200107241223</v>
      </c>
    </row>
    <row r="1691" customFormat="1" spans="1:15">
      <c r="A1691">
        <v>2326</v>
      </c>
      <c r="B1691" t="s">
        <v>2395</v>
      </c>
      <c r="C1691" t="str">
        <f>"46902620010616522X"</f>
        <v>46902620010616522X</v>
      </c>
      <c r="D1691" t="str">
        <f>"248030104505"</f>
        <v>248030104505</v>
      </c>
      <c r="L1691">
        <v>2326</v>
      </c>
      <c r="M1691" t="s">
        <v>2395</v>
      </c>
      <c r="N1691" t="str">
        <f>"248030104505"</f>
        <v>248030104505</v>
      </c>
      <c r="O1691" t="str">
        <f>"46902620010616522X"</f>
        <v>46902620010616522X</v>
      </c>
    </row>
    <row r="1692" customFormat="1" spans="1:15">
      <c r="A1692">
        <v>2327</v>
      </c>
      <c r="B1692" t="s">
        <v>2396</v>
      </c>
      <c r="C1692" t="str">
        <f>"469027199907207187"</f>
        <v>469027199907207187</v>
      </c>
      <c r="D1692" t="str">
        <f>"248030102723"</f>
        <v>248030102723</v>
      </c>
      <c r="L1692">
        <v>2327</v>
      </c>
      <c r="M1692" t="s">
        <v>2396</v>
      </c>
      <c r="N1692" t="str">
        <f>"248030102723"</f>
        <v>248030102723</v>
      </c>
      <c r="O1692" t="str">
        <f>"469027199907207187"</f>
        <v>469027199907207187</v>
      </c>
    </row>
    <row r="1693" customFormat="1" spans="1:15">
      <c r="A1693">
        <v>2328</v>
      </c>
      <c r="B1693" t="s">
        <v>2397</v>
      </c>
      <c r="C1693" t="str">
        <f>"460034199606180019"</f>
        <v>460034199606180019</v>
      </c>
      <c r="L1693">
        <v>2328</v>
      </c>
      <c r="M1693" t="s">
        <v>2397</v>
      </c>
      <c r="O1693" t="str">
        <f>"460034199606180019"</f>
        <v>460034199606180019</v>
      </c>
    </row>
    <row r="1694" customFormat="1" spans="1:15">
      <c r="A1694">
        <v>2329</v>
      </c>
      <c r="B1694" t="s">
        <v>2398</v>
      </c>
      <c r="C1694" t="str">
        <f>"460104199902201213"</f>
        <v>460104199902201213</v>
      </c>
      <c r="D1694" t="str">
        <f>"248030401719"</f>
        <v>248030401719</v>
      </c>
      <c r="L1694">
        <v>2329</v>
      </c>
      <c r="M1694" t="s">
        <v>2398</v>
      </c>
      <c r="N1694" t="str">
        <f>"248030401719"</f>
        <v>248030401719</v>
      </c>
      <c r="O1694" t="str">
        <f>"460104199902201213"</f>
        <v>460104199902201213</v>
      </c>
    </row>
    <row r="1695" customFormat="1" spans="1:15">
      <c r="A1695">
        <v>2330</v>
      </c>
      <c r="B1695" t="s">
        <v>2399</v>
      </c>
      <c r="C1695" t="str">
        <f>"460004200008311223"</f>
        <v>460004200008311223</v>
      </c>
      <c r="D1695" t="str">
        <f>"248030301503"</f>
        <v>248030301503</v>
      </c>
      <c r="L1695">
        <v>2330</v>
      </c>
      <c r="M1695" t="s">
        <v>2399</v>
      </c>
      <c r="N1695" t="str">
        <f>"248030301503"</f>
        <v>248030301503</v>
      </c>
      <c r="O1695" t="str">
        <f>"460004200008311223"</f>
        <v>460004200008311223</v>
      </c>
    </row>
    <row r="1696" customFormat="1" spans="1:15">
      <c r="A1696">
        <v>2331</v>
      </c>
      <c r="B1696" t="s">
        <v>2400</v>
      </c>
      <c r="C1696" t="str">
        <f>"460004199811190840"</f>
        <v>460004199811190840</v>
      </c>
      <c r="D1696" t="str">
        <f>"248030502630"</f>
        <v>248030502630</v>
      </c>
      <c r="L1696">
        <v>2331</v>
      </c>
      <c r="M1696" t="s">
        <v>2400</v>
      </c>
      <c r="N1696" t="str">
        <f>"248030502630"</f>
        <v>248030502630</v>
      </c>
      <c r="O1696" t="str">
        <f>"460004199811190840"</f>
        <v>460004199811190840</v>
      </c>
    </row>
    <row r="1697" customFormat="1" spans="1:15">
      <c r="A1697">
        <v>2332</v>
      </c>
      <c r="B1697" t="s">
        <v>2401</v>
      </c>
      <c r="C1697" t="str">
        <f>"460003200107094424"</f>
        <v>460003200107094424</v>
      </c>
      <c r="L1697">
        <v>2332</v>
      </c>
      <c r="M1697" t="s">
        <v>2401</v>
      </c>
      <c r="O1697" t="str">
        <f>"460003200107094424"</f>
        <v>460003200107094424</v>
      </c>
    </row>
    <row r="1698" customFormat="1" spans="1:15">
      <c r="A1698">
        <v>2334</v>
      </c>
      <c r="B1698" t="s">
        <v>2402</v>
      </c>
      <c r="C1698" t="str">
        <f>"150723199004020022"</f>
        <v>150723199004020022</v>
      </c>
      <c r="D1698" t="str">
        <f>"248030504028"</f>
        <v>248030504028</v>
      </c>
      <c r="L1698">
        <v>2334</v>
      </c>
      <c r="M1698" t="s">
        <v>2402</v>
      </c>
      <c r="N1698" t="str">
        <f>"248030504028"</f>
        <v>248030504028</v>
      </c>
      <c r="O1698" t="str">
        <f>"150723199004020022"</f>
        <v>150723199004020022</v>
      </c>
    </row>
    <row r="1699" customFormat="1" spans="1:15">
      <c r="A1699">
        <v>2335</v>
      </c>
      <c r="B1699" t="s">
        <v>2403</v>
      </c>
      <c r="C1699" t="str">
        <f>"460033199902180025"</f>
        <v>460033199902180025</v>
      </c>
      <c r="D1699" t="str">
        <f>"248030301721"</f>
        <v>248030301721</v>
      </c>
      <c r="L1699">
        <v>2335</v>
      </c>
      <c r="M1699" t="s">
        <v>2403</v>
      </c>
      <c r="N1699" t="str">
        <f>"248030301721"</f>
        <v>248030301721</v>
      </c>
      <c r="O1699" t="str">
        <f>"460033199902180025"</f>
        <v>460033199902180025</v>
      </c>
    </row>
    <row r="1700" customFormat="1" spans="1:15">
      <c r="A1700">
        <v>2336</v>
      </c>
      <c r="B1700" t="s">
        <v>2404</v>
      </c>
      <c r="C1700" t="str">
        <f>"460002200107033828"</f>
        <v>460002200107033828</v>
      </c>
      <c r="D1700" t="str">
        <f>"248030101128"</f>
        <v>248030101128</v>
      </c>
      <c r="L1700">
        <v>2336</v>
      </c>
      <c r="M1700" t="s">
        <v>2404</v>
      </c>
      <c r="N1700" t="str">
        <f>"248030101128"</f>
        <v>248030101128</v>
      </c>
      <c r="O1700" t="str">
        <f>"460002200107033828"</f>
        <v>460002200107033828</v>
      </c>
    </row>
    <row r="1701" customFormat="1" spans="1:15">
      <c r="A1701">
        <v>2337</v>
      </c>
      <c r="B1701" t="s">
        <v>2405</v>
      </c>
      <c r="C1701" t="str">
        <f>"362324199908177423"</f>
        <v>362324199908177423</v>
      </c>
      <c r="D1701" t="str">
        <f>"248030403207"</f>
        <v>248030403207</v>
      </c>
      <c r="L1701">
        <v>2337</v>
      </c>
      <c r="M1701" t="s">
        <v>2405</v>
      </c>
      <c r="N1701" t="str">
        <f>"248030403207"</f>
        <v>248030403207</v>
      </c>
      <c r="O1701" t="str">
        <f>"362324199908177423"</f>
        <v>362324199908177423</v>
      </c>
    </row>
    <row r="1702" customFormat="1" spans="1:15">
      <c r="A1702">
        <v>2338</v>
      </c>
      <c r="B1702" t="s">
        <v>2406</v>
      </c>
      <c r="C1702" t="str">
        <f>"460028199606030021"</f>
        <v>460028199606030021</v>
      </c>
      <c r="L1702">
        <v>2338</v>
      </c>
      <c r="M1702" t="s">
        <v>2406</v>
      </c>
      <c r="O1702" t="str">
        <f>"460028199606030021"</f>
        <v>460028199606030021</v>
      </c>
    </row>
    <row r="1703" customFormat="1" spans="1:15">
      <c r="A1703">
        <v>2339</v>
      </c>
      <c r="B1703" t="s">
        <v>525</v>
      </c>
      <c r="C1703" t="str">
        <f>"460002199709240327"</f>
        <v>460002199709240327</v>
      </c>
      <c r="D1703" t="str">
        <f>"248030403317"</f>
        <v>248030403317</v>
      </c>
      <c r="L1703">
        <v>2339</v>
      </c>
      <c r="M1703" t="s">
        <v>525</v>
      </c>
      <c r="N1703" t="str">
        <f>"248030403317"</f>
        <v>248030403317</v>
      </c>
      <c r="O1703" t="str">
        <f>"460002199709240327"</f>
        <v>460002199709240327</v>
      </c>
    </row>
    <row r="1704" customFormat="1" spans="1:15">
      <c r="A1704">
        <v>2340</v>
      </c>
      <c r="B1704" t="s">
        <v>2407</v>
      </c>
      <c r="C1704" t="str">
        <f>"460003199812177625"</f>
        <v>460003199812177625</v>
      </c>
      <c r="D1704" t="str">
        <f>"248030202530"</f>
        <v>248030202530</v>
      </c>
      <c r="L1704">
        <v>2340</v>
      </c>
      <c r="M1704" t="s">
        <v>2407</v>
      </c>
      <c r="N1704" t="str">
        <f>"248030202530"</f>
        <v>248030202530</v>
      </c>
      <c r="O1704" t="str">
        <f>"460003199812177625"</f>
        <v>460003199812177625</v>
      </c>
    </row>
    <row r="1705" customFormat="1" spans="1:15">
      <c r="A1705">
        <v>2341</v>
      </c>
      <c r="B1705" t="s">
        <v>2408</v>
      </c>
      <c r="C1705" t="str">
        <f>"469022200304162446"</f>
        <v>469022200304162446</v>
      </c>
      <c r="D1705" t="str">
        <f>"248030200518"</f>
        <v>248030200518</v>
      </c>
      <c r="L1705">
        <v>2341</v>
      </c>
      <c r="M1705" t="s">
        <v>2408</v>
      </c>
      <c r="N1705" t="str">
        <f>"248030200518"</f>
        <v>248030200518</v>
      </c>
      <c r="O1705" t="str">
        <f>"469022200304162446"</f>
        <v>469022200304162446</v>
      </c>
    </row>
    <row r="1706" customFormat="1" spans="1:15">
      <c r="A1706">
        <v>2342</v>
      </c>
      <c r="B1706" t="s">
        <v>2409</v>
      </c>
      <c r="C1706" t="str">
        <f>"460007199411125387"</f>
        <v>460007199411125387</v>
      </c>
      <c r="D1706" t="str">
        <f>"248030104823"</f>
        <v>248030104823</v>
      </c>
      <c r="L1706">
        <v>2342</v>
      </c>
      <c r="M1706" t="s">
        <v>2409</v>
      </c>
      <c r="N1706" t="str">
        <f>"248030104823"</f>
        <v>248030104823</v>
      </c>
      <c r="O1706" t="str">
        <f>"460007199411125387"</f>
        <v>460007199411125387</v>
      </c>
    </row>
    <row r="1707" customFormat="1" spans="1:15">
      <c r="A1707">
        <v>2343</v>
      </c>
      <c r="B1707" t="s">
        <v>2410</v>
      </c>
      <c r="C1707" t="str">
        <f>"341221199808161855"</f>
        <v>341221199808161855</v>
      </c>
      <c r="D1707" t="str">
        <f>"248030201725"</f>
        <v>248030201725</v>
      </c>
      <c r="L1707">
        <v>2343</v>
      </c>
      <c r="M1707" t="s">
        <v>2410</v>
      </c>
      <c r="N1707" t="str">
        <f>"248030201725"</f>
        <v>248030201725</v>
      </c>
      <c r="O1707" t="str">
        <f>"341221199808161855"</f>
        <v>341221199808161855</v>
      </c>
    </row>
    <row r="1708" customFormat="1" spans="1:15">
      <c r="A1708">
        <v>2344</v>
      </c>
      <c r="B1708" t="s">
        <v>1643</v>
      </c>
      <c r="C1708" t="str">
        <f>"460027200005273721"</f>
        <v>460027200005273721</v>
      </c>
      <c r="L1708">
        <v>2344</v>
      </c>
      <c r="M1708" t="s">
        <v>1643</v>
      </c>
      <c r="O1708" t="str">
        <f>"460027200005273721"</f>
        <v>460027200005273721</v>
      </c>
    </row>
    <row r="1709" customFormat="1" spans="1:15">
      <c r="A1709">
        <v>2345</v>
      </c>
      <c r="B1709" t="s">
        <v>2411</v>
      </c>
      <c r="C1709" t="str">
        <f>"230702200101160725"</f>
        <v>230702200101160725</v>
      </c>
      <c r="D1709" t="str">
        <f>"248030300504"</f>
        <v>248030300504</v>
      </c>
      <c r="L1709">
        <v>2345</v>
      </c>
      <c r="M1709" t="s">
        <v>2411</v>
      </c>
      <c r="N1709" t="str">
        <f>"248030300504"</f>
        <v>248030300504</v>
      </c>
      <c r="O1709" t="str">
        <f>"230702200101160725"</f>
        <v>230702200101160725</v>
      </c>
    </row>
    <row r="1710" customFormat="1" spans="1:15">
      <c r="A1710">
        <v>2346</v>
      </c>
      <c r="B1710" t="s">
        <v>2412</v>
      </c>
      <c r="C1710" t="str">
        <f>"46010219990831032X"</f>
        <v>46010219990831032X</v>
      </c>
      <c r="D1710" t="str">
        <f>"248030101115"</f>
        <v>248030101115</v>
      </c>
      <c r="L1710">
        <v>2346</v>
      </c>
      <c r="M1710" t="s">
        <v>2412</v>
      </c>
      <c r="N1710" t="str">
        <f>"248030101115"</f>
        <v>248030101115</v>
      </c>
      <c r="O1710" t="str">
        <f>"46010219990831032X"</f>
        <v>46010219990831032X</v>
      </c>
    </row>
    <row r="1711" customFormat="1" spans="1:15">
      <c r="A1711">
        <v>2348</v>
      </c>
      <c r="B1711" t="s">
        <v>2413</v>
      </c>
      <c r="C1711" t="str">
        <f>"460034199806190721"</f>
        <v>460034199806190721</v>
      </c>
      <c r="D1711" t="str">
        <f>"248030100530"</f>
        <v>248030100530</v>
      </c>
      <c r="L1711">
        <v>2348</v>
      </c>
      <c r="M1711" t="s">
        <v>2413</v>
      </c>
      <c r="N1711" t="str">
        <f>"248030100530"</f>
        <v>248030100530</v>
      </c>
      <c r="O1711" t="str">
        <f>"460034199806190721"</f>
        <v>460034199806190721</v>
      </c>
    </row>
    <row r="1712" customFormat="1" spans="1:15">
      <c r="A1712">
        <v>2349</v>
      </c>
      <c r="B1712" t="s">
        <v>144</v>
      </c>
      <c r="C1712" t="str">
        <f>"460025199809082121"</f>
        <v>460025199809082121</v>
      </c>
      <c r="D1712" t="str">
        <f>"248030503704"</f>
        <v>248030503704</v>
      </c>
      <c r="L1712">
        <v>2349</v>
      </c>
      <c r="M1712" t="s">
        <v>144</v>
      </c>
      <c r="N1712" t="str">
        <f>"248030503704"</f>
        <v>248030503704</v>
      </c>
      <c r="O1712" t="str">
        <f>"460025199809082121"</f>
        <v>460025199809082121</v>
      </c>
    </row>
    <row r="1713" customFormat="1" spans="1:15">
      <c r="A1713">
        <v>2350</v>
      </c>
      <c r="B1713" t="s">
        <v>2414</v>
      </c>
      <c r="C1713" t="str">
        <f>"460027199812228227"</f>
        <v>460027199812228227</v>
      </c>
      <c r="D1713" t="str">
        <f>"248030104908"</f>
        <v>248030104908</v>
      </c>
      <c r="L1713">
        <v>2350</v>
      </c>
      <c r="M1713" t="s">
        <v>2414</v>
      </c>
      <c r="N1713" t="str">
        <f>"248030104908"</f>
        <v>248030104908</v>
      </c>
      <c r="O1713" t="str">
        <f>"460027199812228227"</f>
        <v>460027199812228227</v>
      </c>
    </row>
    <row r="1714" customFormat="1" spans="1:15">
      <c r="A1714">
        <v>2351</v>
      </c>
      <c r="B1714" t="s">
        <v>2415</v>
      </c>
      <c r="C1714" t="str">
        <f>"460030200001113315"</f>
        <v>460030200001113315</v>
      </c>
      <c r="D1714" t="str">
        <f>"248030201929"</f>
        <v>248030201929</v>
      </c>
      <c r="L1714">
        <v>2351</v>
      </c>
      <c r="M1714" t="s">
        <v>2415</v>
      </c>
      <c r="N1714" t="str">
        <f>"248030201929"</f>
        <v>248030201929</v>
      </c>
      <c r="O1714" t="str">
        <f>"460030200001113315"</f>
        <v>460030200001113315</v>
      </c>
    </row>
    <row r="1715" customFormat="1" spans="1:15">
      <c r="A1715">
        <v>2352</v>
      </c>
      <c r="B1715" t="s">
        <v>2416</v>
      </c>
      <c r="C1715" t="str">
        <f>"460007199802257248"</f>
        <v>460007199802257248</v>
      </c>
      <c r="D1715" t="str">
        <f>"248030200917"</f>
        <v>248030200917</v>
      </c>
      <c r="L1715">
        <v>2352</v>
      </c>
      <c r="M1715" t="s">
        <v>2416</v>
      </c>
      <c r="N1715" t="str">
        <f>"248030200917"</f>
        <v>248030200917</v>
      </c>
      <c r="O1715" t="str">
        <f>"460007199802257248"</f>
        <v>460007199802257248</v>
      </c>
    </row>
    <row r="1716" customFormat="1" spans="1:15">
      <c r="A1716">
        <v>2353</v>
      </c>
      <c r="B1716" t="s">
        <v>2417</v>
      </c>
      <c r="C1716" t="str">
        <f>"460002199807170027"</f>
        <v>460002199807170027</v>
      </c>
      <c r="D1716" t="str">
        <f>"248030401424"</f>
        <v>248030401424</v>
      </c>
      <c r="L1716">
        <v>2353</v>
      </c>
      <c r="M1716" t="s">
        <v>2417</v>
      </c>
      <c r="N1716" t="str">
        <f>"248030401424"</f>
        <v>248030401424</v>
      </c>
      <c r="O1716" t="str">
        <f>"460002199807170027"</f>
        <v>460002199807170027</v>
      </c>
    </row>
    <row r="1717" customFormat="1" spans="1:15">
      <c r="A1717">
        <v>2354</v>
      </c>
      <c r="B1717" t="s">
        <v>2418</v>
      </c>
      <c r="C1717" t="str">
        <f>"460107199810073022"</f>
        <v>460107199810073022</v>
      </c>
      <c r="D1717" t="str">
        <f>"248030401427"</f>
        <v>248030401427</v>
      </c>
      <c r="L1717">
        <v>2354</v>
      </c>
      <c r="M1717" t="s">
        <v>2418</v>
      </c>
      <c r="N1717" t="str">
        <f>"248030401427"</f>
        <v>248030401427</v>
      </c>
      <c r="O1717" t="str">
        <f>"460107199810073022"</f>
        <v>460107199810073022</v>
      </c>
    </row>
    <row r="1718" customFormat="1" spans="1:15">
      <c r="A1718">
        <v>2355</v>
      </c>
      <c r="B1718" t="s">
        <v>512</v>
      </c>
      <c r="C1718" t="str">
        <f>"460004199709224629"</f>
        <v>460004199709224629</v>
      </c>
      <c r="D1718" t="str">
        <f>"248030100215"</f>
        <v>248030100215</v>
      </c>
      <c r="L1718">
        <v>2355</v>
      </c>
      <c r="M1718" t="s">
        <v>512</v>
      </c>
      <c r="N1718" t="str">
        <f>"248030100215"</f>
        <v>248030100215</v>
      </c>
      <c r="O1718" t="str">
        <f>"460004199709224629"</f>
        <v>460004199709224629</v>
      </c>
    </row>
    <row r="1719" customFormat="1" spans="1:15">
      <c r="A1719">
        <v>2356</v>
      </c>
      <c r="B1719" t="s">
        <v>2419</v>
      </c>
      <c r="C1719" t="str">
        <f>"460104200008231229"</f>
        <v>460104200008231229</v>
      </c>
      <c r="D1719" t="str">
        <f>"248030501523"</f>
        <v>248030501523</v>
      </c>
      <c r="L1719">
        <v>2356</v>
      </c>
      <c r="M1719" t="s">
        <v>2419</v>
      </c>
      <c r="N1719" t="str">
        <f>"248030501523"</f>
        <v>248030501523</v>
      </c>
      <c r="O1719" t="str">
        <f>"460104200008231229"</f>
        <v>460104200008231229</v>
      </c>
    </row>
    <row r="1720" customFormat="1" spans="1:15">
      <c r="A1720">
        <v>2358</v>
      </c>
      <c r="B1720" t="s">
        <v>2420</v>
      </c>
      <c r="C1720" t="str">
        <f>"460104199907080019"</f>
        <v>460104199907080019</v>
      </c>
      <c r="D1720" t="str">
        <f>"248030403127"</f>
        <v>248030403127</v>
      </c>
      <c r="L1720">
        <v>2358</v>
      </c>
      <c r="M1720" t="s">
        <v>2420</v>
      </c>
      <c r="N1720" t="str">
        <f>"248030403127"</f>
        <v>248030403127</v>
      </c>
      <c r="O1720" t="str">
        <f>"460104199907080019"</f>
        <v>460104199907080019</v>
      </c>
    </row>
    <row r="1721" customFormat="1" spans="1:15">
      <c r="A1721">
        <v>2359</v>
      </c>
      <c r="B1721" t="s">
        <v>2421</v>
      </c>
      <c r="C1721" t="str">
        <f>"460105200112022722"</f>
        <v>460105200112022722</v>
      </c>
      <c r="D1721" t="str">
        <f>"248030101704"</f>
        <v>248030101704</v>
      </c>
      <c r="L1721">
        <v>2359</v>
      </c>
      <c r="M1721" t="s">
        <v>2421</v>
      </c>
      <c r="N1721" t="str">
        <f>"248030101704"</f>
        <v>248030101704</v>
      </c>
      <c r="O1721" t="str">
        <f>"460105200112022722"</f>
        <v>460105200112022722</v>
      </c>
    </row>
    <row r="1722" customFormat="1" spans="1:15">
      <c r="A1722">
        <v>2360</v>
      </c>
      <c r="B1722" t="s">
        <v>2422</v>
      </c>
      <c r="C1722" t="str">
        <f>"460102199104170624"</f>
        <v>460102199104170624</v>
      </c>
      <c r="L1722">
        <v>2360</v>
      </c>
      <c r="M1722" t="s">
        <v>2422</v>
      </c>
      <c r="O1722" t="str">
        <f>"460102199104170624"</f>
        <v>460102199104170624</v>
      </c>
    </row>
    <row r="1723" customFormat="1" spans="1:15">
      <c r="A1723">
        <v>2361</v>
      </c>
      <c r="B1723" t="s">
        <v>2423</v>
      </c>
      <c r="C1723" t="str">
        <f>"460003199907162848"</f>
        <v>460003199907162848</v>
      </c>
      <c r="L1723">
        <v>2361</v>
      </c>
      <c r="M1723" t="s">
        <v>2423</v>
      </c>
      <c r="O1723" t="str">
        <f>"460003199907162848"</f>
        <v>460003199907162848</v>
      </c>
    </row>
    <row r="1724" customFormat="1" spans="1:15">
      <c r="A1724">
        <v>2364</v>
      </c>
      <c r="B1724" t="s">
        <v>2424</v>
      </c>
      <c r="C1724" t="str">
        <f>"46000419990420202X"</f>
        <v>46000419990420202X</v>
      </c>
      <c r="L1724">
        <v>2364</v>
      </c>
      <c r="M1724" t="s">
        <v>2424</v>
      </c>
      <c r="O1724" t="str">
        <f>"46000419990420202X"</f>
        <v>46000419990420202X</v>
      </c>
    </row>
    <row r="1725" customFormat="1" spans="1:15">
      <c r="A1725">
        <v>2365</v>
      </c>
      <c r="B1725" t="s">
        <v>2425</v>
      </c>
      <c r="C1725" t="str">
        <f>"13010219941118064X"</f>
        <v>13010219941118064X</v>
      </c>
      <c r="D1725" t="str">
        <f>"248030502917"</f>
        <v>248030502917</v>
      </c>
      <c r="L1725">
        <v>2365</v>
      </c>
      <c r="M1725" t="s">
        <v>2425</v>
      </c>
      <c r="N1725" t="str">
        <f>"248030502917"</f>
        <v>248030502917</v>
      </c>
      <c r="O1725" t="str">
        <f>"13010219941118064X"</f>
        <v>13010219941118064X</v>
      </c>
    </row>
    <row r="1726" customFormat="1" spans="1:15">
      <c r="A1726">
        <v>2366</v>
      </c>
      <c r="B1726" t="s">
        <v>2426</v>
      </c>
      <c r="C1726" t="str">
        <f>"469003200109085036"</f>
        <v>469003200109085036</v>
      </c>
      <c r="D1726" t="str">
        <f>"248030302210"</f>
        <v>248030302210</v>
      </c>
      <c r="L1726">
        <v>2366</v>
      </c>
      <c r="M1726" t="s">
        <v>2426</v>
      </c>
      <c r="N1726" t="str">
        <f>"248030302210"</f>
        <v>248030302210</v>
      </c>
      <c r="O1726" t="str">
        <f>"469003200109085036"</f>
        <v>469003200109085036</v>
      </c>
    </row>
    <row r="1727" customFormat="1" spans="1:15">
      <c r="A1727">
        <v>2368</v>
      </c>
      <c r="B1727" t="s">
        <v>2427</v>
      </c>
      <c r="C1727" t="str">
        <f>"460007199606187625"</f>
        <v>460007199606187625</v>
      </c>
      <c r="D1727" t="str">
        <f>"248030502528"</f>
        <v>248030502528</v>
      </c>
      <c r="L1727">
        <v>2368</v>
      </c>
      <c r="M1727" t="s">
        <v>2427</v>
      </c>
      <c r="N1727" t="str">
        <f>"248030502528"</f>
        <v>248030502528</v>
      </c>
      <c r="O1727" t="str">
        <f>"460007199606187625"</f>
        <v>460007199606187625</v>
      </c>
    </row>
    <row r="1728" customFormat="1" spans="1:15">
      <c r="A1728">
        <v>2370</v>
      </c>
      <c r="B1728" t="s">
        <v>2428</v>
      </c>
      <c r="C1728" t="str">
        <f>"421022200209100023"</f>
        <v>421022200209100023</v>
      </c>
      <c r="D1728" t="str">
        <f>"248030503405"</f>
        <v>248030503405</v>
      </c>
      <c r="L1728">
        <v>2370</v>
      </c>
      <c r="M1728" t="s">
        <v>2428</v>
      </c>
      <c r="N1728" t="str">
        <f>"248030503405"</f>
        <v>248030503405</v>
      </c>
      <c r="O1728" t="str">
        <f>"421022200209100023"</f>
        <v>421022200209100023</v>
      </c>
    </row>
    <row r="1729" customFormat="1" spans="1:15">
      <c r="A1729">
        <v>2371</v>
      </c>
      <c r="B1729" t="s">
        <v>2429</v>
      </c>
      <c r="C1729" t="str">
        <f>"460006199712187526"</f>
        <v>460006199712187526</v>
      </c>
      <c r="D1729" t="str">
        <f>"248030402117"</f>
        <v>248030402117</v>
      </c>
      <c r="L1729">
        <v>2371</v>
      </c>
      <c r="M1729" t="s">
        <v>2429</v>
      </c>
      <c r="N1729" t="str">
        <f>"248030402117"</f>
        <v>248030402117</v>
      </c>
      <c r="O1729" t="str">
        <f>"460006199712187526"</f>
        <v>460006199712187526</v>
      </c>
    </row>
    <row r="1730" customFormat="1" spans="1:15">
      <c r="A1730">
        <v>2372</v>
      </c>
      <c r="B1730" t="s">
        <v>2430</v>
      </c>
      <c r="C1730" t="str">
        <f>"342523200203216740"</f>
        <v>342523200203216740</v>
      </c>
      <c r="D1730" t="str">
        <f>"248030101802"</f>
        <v>248030101802</v>
      </c>
      <c r="L1730">
        <v>2372</v>
      </c>
      <c r="M1730" t="s">
        <v>2430</v>
      </c>
      <c r="N1730" t="str">
        <f>"248030101802"</f>
        <v>248030101802</v>
      </c>
      <c r="O1730" t="str">
        <f>"342523200203216740"</f>
        <v>342523200203216740</v>
      </c>
    </row>
    <row r="1731" customFormat="1" spans="1:15">
      <c r="A1731">
        <v>2373</v>
      </c>
      <c r="B1731" t="s">
        <v>2431</v>
      </c>
      <c r="C1731" t="str">
        <f>"460103200108241815"</f>
        <v>460103200108241815</v>
      </c>
      <c r="D1731" t="str">
        <f>"248030101712"</f>
        <v>248030101712</v>
      </c>
      <c r="L1731">
        <v>2373</v>
      </c>
      <c r="M1731" t="s">
        <v>2431</v>
      </c>
      <c r="N1731" t="str">
        <f>"248030101712"</f>
        <v>248030101712</v>
      </c>
      <c r="O1731" t="str">
        <f>"460103200108241815"</f>
        <v>460103200108241815</v>
      </c>
    </row>
    <row r="1732" customFormat="1" spans="1:15">
      <c r="A1732">
        <v>2374</v>
      </c>
      <c r="B1732" t="s">
        <v>2432</v>
      </c>
      <c r="C1732" t="str">
        <f>"62010220020628461X"</f>
        <v>62010220020628461X</v>
      </c>
      <c r="D1732" t="str">
        <f>"248030101208"</f>
        <v>248030101208</v>
      </c>
      <c r="L1732">
        <v>2374</v>
      </c>
      <c r="M1732" t="s">
        <v>2432</v>
      </c>
      <c r="N1732" t="str">
        <f>"248030101208"</f>
        <v>248030101208</v>
      </c>
      <c r="O1732" t="str">
        <f>"62010220020628461X"</f>
        <v>62010220020628461X</v>
      </c>
    </row>
    <row r="1733" customFormat="1" spans="1:15">
      <c r="A1733">
        <v>2375</v>
      </c>
      <c r="B1733" t="s">
        <v>131</v>
      </c>
      <c r="C1733" t="str">
        <f>"612428200210290625"</f>
        <v>612428200210290625</v>
      </c>
      <c r="D1733" t="str">
        <f>"248030202207"</f>
        <v>248030202207</v>
      </c>
      <c r="L1733">
        <v>2375</v>
      </c>
      <c r="M1733" t="s">
        <v>131</v>
      </c>
      <c r="N1733" t="str">
        <f>"248030202207"</f>
        <v>248030202207</v>
      </c>
      <c r="O1733" t="str">
        <f>"612428200210290625"</f>
        <v>612428200210290625</v>
      </c>
    </row>
    <row r="1734" customFormat="1" spans="1:15">
      <c r="A1734">
        <v>2376</v>
      </c>
      <c r="B1734" t="s">
        <v>2433</v>
      </c>
      <c r="C1734" t="str">
        <f>"460035200205171914"</f>
        <v>460035200205171914</v>
      </c>
      <c r="D1734" t="str">
        <f>"248030201419"</f>
        <v>248030201419</v>
      </c>
      <c r="L1734">
        <v>2376</v>
      </c>
      <c r="M1734" t="s">
        <v>2433</v>
      </c>
      <c r="N1734" t="str">
        <f>"248030201419"</f>
        <v>248030201419</v>
      </c>
      <c r="O1734" t="str">
        <f>"460035200205171914"</f>
        <v>460035200205171914</v>
      </c>
    </row>
    <row r="1735" customFormat="1" spans="1:15">
      <c r="A1735">
        <v>2377</v>
      </c>
      <c r="B1735" t="s">
        <v>2434</v>
      </c>
      <c r="C1735" t="str">
        <f>"460004199808203620"</f>
        <v>460004199808203620</v>
      </c>
      <c r="D1735" t="str">
        <f>"248030502228"</f>
        <v>248030502228</v>
      </c>
      <c r="L1735">
        <v>2377</v>
      </c>
      <c r="M1735" t="s">
        <v>2434</v>
      </c>
      <c r="N1735" t="str">
        <f>"248030502228"</f>
        <v>248030502228</v>
      </c>
      <c r="O1735" t="str">
        <f>"460004199808203620"</f>
        <v>460004199808203620</v>
      </c>
    </row>
    <row r="1736" customFormat="1" spans="1:15">
      <c r="A1736">
        <v>2378</v>
      </c>
      <c r="B1736" t="s">
        <v>2435</v>
      </c>
      <c r="C1736" t="str">
        <f>"460002200005311225"</f>
        <v>460002200005311225</v>
      </c>
      <c r="D1736" t="str">
        <f>"248030503809"</f>
        <v>248030503809</v>
      </c>
      <c r="L1736">
        <v>2378</v>
      </c>
      <c r="M1736" t="s">
        <v>2435</v>
      </c>
      <c r="N1736" t="str">
        <f>"248030503809"</f>
        <v>248030503809</v>
      </c>
      <c r="O1736" t="str">
        <f>"460002200005311225"</f>
        <v>460002200005311225</v>
      </c>
    </row>
    <row r="1737" customFormat="1" spans="1:15">
      <c r="A1737">
        <v>2379</v>
      </c>
      <c r="B1737" t="s">
        <v>2436</v>
      </c>
      <c r="C1737" t="str">
        <f>"460028200007204849"</f>
        <v>460028200007204849</v>
      </c>
      <c r="L1737">
        <v>2379</v>
      </c>
      <c r="M1737" t="s">
        <v>2436</v>
      </c>
      <c r="O1737" t="str">
        <f>"460028200007204849"</f>
        <v>460028200007204849</v>
      </c>
    </row>
    <row r="1738" customFormat="1" spans="1:15">
      <c r="A1738">
        <v>2380</v>
      </c>
      <c r="B1738" t="s">
        <v>2437</v>
      </c>
      <c r="C1738" t="str">
        <f>"450721199002113987"</f>
        <v>450721199002113987</v>
      </c>
      <c r="D1738" t="str">
        <f>"248030502920"</f>
        <v>248030502920</v>
      </c>
      <c r="L1738">
        <v>2380</v>
      </c>
      <c r="M1738" t="s">
        <v>2437</v>
      </c>
      <c r="N1738" t="str">
        <f>"248030502920"</f>
        <v>248030502920</v>
      </c>
      <c r="O1738" t="str">
        <f>"450721199002113987"</f>
        <v>450721199002113987</v>
      </c>
    </row>
    <row r="1739" customFormat="1" spans="1:15">
      <c r="A1739">
        <v>2382</v>
      </c>
      <c r="B1739" t="s">
        <v>2438</v>
      </c>
      <c r="C1739" t="str">
        <f>"460035200107190417"</f>
        <v>460035200107190417</v>
      </c>
      <c r="D1739" t="str">
        <f>"248030201706"</f>
        <v>248030201706</v>
      </c>
      <c r="L1739">
        <v>2382</v>
      </c>
      <c r="M1739" t="s">
        <v>2438</v>
      </c>
      <c r="N1739" t="str">
        <f>"248030201706"</f>
        <v>248030201706</v>
      </c>
      <c r="O1739" t="str">
        <f>"460035200107190417"</f>
        <v>460035200107190417</v>
      </c>
    </row>
    <row r="1740" customFormat="1" spans="1:15">
      <c r="A1740">
        <v>2383</v>
      </c>
      <c r="B1740" t="s">
        <v>2439</v>
      </c>
      <c r="C1740" t="str">
        <f>"460002200211224624"</f>
        <v>460002200211224624</v>
      </c>
      <c r="D1740" t="str">
        <f>"248030101703"</f>
        <v>248030101703</v>
      </c>
      <c r="L1740">
        <v>2383</v>
      </c>
      <c r="M1740" t="s">
        <v>2439</v>
      </c>
      <c r="N1740" t="str">
        <f>"248030101703"</f>
        <v>248030101703</v>
      </c>
      <c r="O1740" t="str">
        <f>"460002200211224624"</f>
        <v>460002200211224624</v>
      </c>
    </row>
    <row r="1741" customFormat="1" spans="1:15">
      <c r="A1741">
        <v>2384</v>
      </c>
      <c r="B1741" t="s">
        <v>2440</v>
      </c>
      <c r="C1741" t="str">
        <f>"469026200103176425"</f>
        <v>469026200103176425</v>
      </c>
      <c r="D1741" t="str">
        <f>"248030203122"</f>
        <v>248030203122</v>
      </c>
      <c r="L1741">
        <v>2384</v>
      </c>
      <c r="M1741" t="s">
        <v>2440</v>
      </c>
      <c r="N1741" t="str">
        <f>"248030203122"</f>
        <v>248030203122</v>
      </c>
      <c r="O1741" t="str">
        <f>"469026200103176425"</f>
        <v>469026200103176425</v>
      </c>
    </row>
    <row r="1742" customFormat="1" spans="1:15">
      <c r="A1742">
        <v>2385</v>
      </c>
      <c r="B1742" t="s">
        <v>2441</v>
      </c>
      <c r="C1742" t="str">
        <f>"37232119990725002X"</f>
        <v>37232119990725002X</v>
      </c>
      <c r="D1742" t="str">
        <f>"248030404301"</f>
        <v>248030404301</v>
      </c>
      <c r="L1742">
        <v>2385</v>
      </c>
      <c r="M1742" t="s">
        <v>2441</v>
      </c>
      <c r="N1742" t="str">
        <f>"248030404301"</f>
        <v>248030404301</v>
      </c>
      <c r="O1742" t="str">
        <f>"37232119990725002X"</f>
        <v>37232119990725002X</v>
      </c>
    </row>
    <row r="1743" customFormat="1" spans="1:15">
      <c r="A1743">
        <v>2386</v>
      </c>
      <c r="B1743" t="s">
        <v>2442</v>
      </c>
      <c r="C1743" t="str">
        <f>"460033199910177205"</f>
        <v>460033199910177205</v>
      </c>
      <c r="D1743" t="str">
        <f>"248030403727"</f>
        <v>248030403727</v>
      </c>
      <c r="L1743">
        <v>2386</v>
      </c>
      <c r="M1743" t="s">
        <v>2442</v>
      </c>
      <c r="N1743" t="str">
        <f>"248030403727"</f>
        <v>248030403727</v>
      </c>
      <c r="O1743" t="str">
        <f>"460033199910177205"</f>
        <v>460033199910177205</v>
      </c>
    </row>
    <row r="1744" customFormat="1" spans="1:15">
      <c r="A1744">
        <v>2387</v>
      </c>
      <c r="B1744" t="s">
        <v>2443</v>
      </c>
      <c r="C1744" t="str">
        <f>"350824199012090433"</f>
        <v>350824199012090433</v>
      </c>
      <c r="D1744" t="str">
        <f>"248030401013"</f>
        <v>248030401013</v>
      </c>
      <c r="L1744">
        <v>2387</v>
      </c>
      <c r="M1744" t="s">
        <v>2443</v>
      </c>
      <c r="N1744" t="str">
        <f>"248030401013"</f>
        <v>248030401013</v>
      </c>
      <c r="O1744" t="str">
        <f>"350824199012090433"</f>
        <v>350824199012090433</v>
      </c>
    </row>
    <row r="1745" customFormat="1" spans="1:15">
      <c r="A1745">
        <v>2388</v>
      </c>
      <c r="B1745" t="s">
        <v>2444</v>
      </c>
      <c r="C1745" t="str">
        <f>"230307199308034042"</f>
        <v>230307199308034042</v>
      </c>
      <c r="D1745" t="str">
        <f>"248030503424"</f>
        <v>248030503424</v>
      </c>
      <c r="L1745">
        <v>2388</v>
      </c>
      <c r="M1745" t="s">
        <v>2444</v>
      </c>
      <c r="N1745" t="str">
        <f>"248030503424"</f>
        <v>248030503424</v>
      </c>
      <c r="O1745" t="str">
        <f>"230307199308034042"</f>
        <v>230307199308034042</v>
      </c>
    </row>
    <row r="1746" customFormat="1" spans="1:15">
      <c r="A1746">
        <v>2389</v>
      </c>
      <c r="B1746" t="s">
        <v>2445</v>
      </c>
      <c r="C1746" t="str">
        <f>"460028199704230836"</f>
        <v>460028199704230836</v>
      </c>
      <c r="L1746">
        <v>2389</v>
      </c>
      <c r="M1746" t="s">
        <v>2445</v>
      </c>
      <c r="O1746" t="str">
        <f>"460028199704230836"</f>
        <v>460028199704230836</v>
      </c>
    </row>
    <row r="1747" customFormat="1" spans="1:15">
      <c r="A1747">
        <v>2390</v>
      </c>
      <c r="B1747" t="s">
        <v>2446</v>
      </c>
      <c r="C1747" t="str">
        <f>"469006199810241483"</f>
        <v>469006199810241483</v>
      </c>
      <c r="D1747" t="str">
        <f>"248030301501"</f>
        <v>248030301501</v>
      </c>
      <c r="L1747">
        <v>2390</v>
      </c>
      <c r="M1747" t="s">
        <v>2446</v>
      </c>
      <c r="N1747" t="str">
        <f>"248030301501"</f>
        <v>248030301501</v>
      </c>
      <c r="O1747" t="str">
        <f>"469006199810241483"</f>
        <v>469006199810241483</v>
      </c>
    </row>
    <row r="1748" customFormat="1" spans="1:15">
      <c r="A1748">
        <v>2392</v>
      </c>
      <c r="B1748" t="s">
        <v>2447</v>
      </c>
      <c r="C1748" t="str">
        <f>"460005199612221225"</f>
        <v>460005199612221225</v>
      </c>
      <c r="D1748" t="str">
        <f>"248030301004"</f>
        <v>248030301004</v>
      </c>
      <c r="L1748">
        <v>2392</v>
      </c>
      <c r="M1748" t="s">
        <v>2447</v>
      </c>
      <c r="N1748" t="str">
        <f>"248030301004"</f>
        <v>248030301004</v>
      </c>
      <c r="O1748" t="str">
        <f>"460005199612221225"</f>
        <v>460005199612221225</v>
      </c>
    </row>
    <row r="1749" customFormat="1" spans="1:15">
      <c r="A1749">
        <v>2393</v>
      </c>
      <c r="B1749" t="s">
        <v>794</v>
      </c>
      <c r="C1749" t="str">
        <f>"460004200012266429"</f>
        <v>460004200012266429</v>
      </c>
      <c r="D1749" t="str">
        <f>"248030103321"</f>
        <v>248030103321</v>
      </c>
      <c r="L1749">
        <v>2393</v>
      </c>
      <c r="M1749" t="s">
        <v>794</v>
      </c>
      <c r="N1749" t="str">
        <f>"248030103321"</f>
        <v>248030103321</v>
      </c>
      <c r="O1749" t="str">
        <f>"460004200012266429"</f>
        <v>460004200012266429</v>
      </c>
    </row>
    <row r="1750" customFormat="1" spans="1:15">
      <c r="A1750">
        <v>2395</v>
      </c>
      <c r="B1750" t="s">
        <v>2448</v>
      </c>
      <c r="C1750" t="str">
        <f>"460028199606130823"</f>
        <v>460028199606130823</v>
      </c>
      <c r="L1750">
        <v>2395</v>
      </c>
      <c r="M1750" t="s">
        <v>2448</v>
      </c>
      <c r="O1750" t="str">
        <f>"460028199606130823"</f>
        <v>460028199606130823</v>
      </c>
    </row>
    <row r="1751" customFormat="1" spans="1:15">
      <c r="A1751">
        <v>2396</v>
      </c>
      <c r="B1751" t="s">
        <v>2449</v>
      </c>
      <c r="C1751" t="str">
        <f>"460022199701312723"</f>
        <v>460022199701312723</v>
      </c>
      <c r="D1751" t="str">
        <f>"248030201016"</f>
        <v>248030201016</v>
      </c>
      <c r="L1751">
        <v>2396</v>
      </c>
      <c r="M1751" t="s">
        <v>2449</v>
      </c>
      <c r="N1751" t="str">
        <f>"248030201016"</f>
        <v>248030201016</v>
      </c>
      <c r="O1751" t="str">
        <f>"460022199701312723"</f>
        <v>460022199701312723</v>
      </c>
    </row>
    <row r="1752" customFormat="1" spans="1:15">
      <c r="A1752">
        <v>2397</v>
      </c>
      <c r="B1752" t="s">
        <v>2450</v>
      </c>
      <c r="C1752" t="str">
        <f>"460028200201066822"</f>
        <v>460028200201066822</v>
      </c>
      <c r="D1752" t="str">
        <f>"248030502916"</f>
        <v>248030502916</v>
      </c>
      <c r="L1752">
        <v>2397</v>
      </c>
      <c r="M1752" t="s">
        <v>2450</v>
      </c>
      <c r="N1752" t="str">
        <f>"248030502916"</f>
        <v>248030502916</v>
      </c>
      <c r="O1752" t="str">
        <f>"460028200201066822"</f>
        <v>460028200201066822</v>
      </c>
    </row>
    <row r="1753" customFormat="1" spans="1:15">
      <c r="A1753">
        <v>2398</v>
      </c>
      <c r="B1753" t="s">
        <v>2451</v>
      </c>
      <c r="C1753" t="str">
        <f>"410322199501212821"</f>
        <v>410322199501212821</v>
      </c>
      <c r="D1753" t="str">
        <f>"248030403120"</f>
        <v>248030403120</v>
      </c>
      <c r="L1753">
        <v>2398</v>
      </c>
      <c r="M1753" t="s">
        <v>2451</v>
      </c>
      <c r="N1753" t="str">
        <f>"248030403120"</f>
        <v>248030403120</v>
      </c>
      <c r="O1753" t="str">
        <f>"410322199501212821"</f>
        <v>410322199501212821</v>
      </c>
    </row>
    <row r="1754" customFormat="1" spans="1:15">
      <c r="A1754">
        <v>2399</v>
      </c>
      <c r="B1754" t="s">
        <v>2452</v>
      </c>
      <c r="C1754" t="str">
        <f>"460004199208210624"</f>
        <v>460004199208210624</v>
      </c>
      <c r="D1754" t="str">
        <f>"248030104817"</f>
        <v>248030104817</v>
      </c>
      <c r="L1754">
        <v>2399</v>
      </c>
      <c r="M1754" t="s">
        <v>2452</v>
      </c>
      <c r="N1754" t="str">
        <f>"248030104817"</f>
        <v>248030104817</v>
      </c>
      <c r="O1754" t="str">
        <f>"460004199208210624"</f>
        <v>460004199208210624</v>
      </c>
    </row>
    <row r="1755" customFormat="1" spans="1:15">
      <c r="A1755">
        <v>2400</v>
      </c>
      <c r="B1755" t="s">
        <v>2453</v>
      </c>
      <c r="C1755" t="str">
        <f>"460004199208083821"</f>
        <v>460004199208083821</v>
      </c>
      <c r="D1755" t="str">
        <f>"248030100219"</f>
        <v>248030100219</v>
      </c>
      <c r="L1755">
        <v>2400</v>
      </c>
      <c r="M1755" t="s">
        <v>2453</v>
      </c>
      <c r="N1755" t="str">
        <f>"248030100219"</f>
        <v>248030100219</v>
      </c>
      <c r="O1755" t="str">
        <f>"460004199208083821"</f>
        <v>460004199208083821</v>
      </c>
    </row>
    <row r="1756" customFormat="1" spans="1:15">
      <c r="A1756">
        <v>2402</v>
      </c>
      <c r="B1756" t="s">
        <v>2454</v>
      </c>
      <c r="C1756" t="str">
        <f>"460027200005084728"</f>
        <v>460027200005084728</v>
      </c>
      <c r="L1756">
        <v>2402</v>
      </c>
      <c r="M1756" t="s">
        <v>2454</v>
      </c>
      <c r="O1756" t="str">
        <f>"460027200005084728"</f>
        <v>460027200005084728</v>
      </c>
    </row>
    <row r="1757" customFormat="1" spans="1:15">
      <c r="A1757">
        <v>2406</v>
      </c>
      <c r="B1757" t="s">
        <v>2455</v>
      </c>
      <c r="C1757" t="str">
        <f>"460003199810016641"</f>
        <v>460003199810016641</v>
      </c>
      <c r="D1757" t="str">
        <f>"248030100424"</f>
        <v>248030100424</v>
      </c>
      <c r="L1757">
        <v>2406</v>
      </c>
      <c r="M1757" t="s">
        <v>2455</v>
      </c>
      <c r="N1757" t="str">
        <f>"248030100424"</f>
        <v>248030100424</v>
      </c>
      <c r="O1757" t="str">
        <f>"460003199810016641"</f>
        <v>460003199810016641</v>
      </c>
    </row>
    <row r="1758" customFormat="1" spans="1:15">
      <c r="A1758">
        <v>2407</v>
      </c>
      <c r="B1758" t="s">
        <v>2456</v>
      </c>
      <c r="C1758" t="str">
        <f>"450922199808283229"</f>
        <v>450922199808283229</v>
      </c>
      <c r="D1758" t="str">
        <f>"248030501314"</f>
        <v>248030501314</v>
      </c>
      <c r="L1758">
        <v>2407</v>
      </c>
      <c r="M1758" t="s">
        <v>2456</v>
      </c>
      <c r="N1758" t="str">
        <f>"248030501314"</f>
        <v>248030501314</v>
      </c>
      <c r="O1758" t="str">
        <f>"450922199808283229"</f>
        <v>450922199808283229</v>
      </c>
    </row>
    <row r="1759" customFormat="1" spans="1:15">
      <c r="A1759">
        <v>2408</v>
      </c>
      <c r="B1759" t="s">
        <v>2457</v>
      </c>
      <c r="C1759" t="str">
        <f>"469026200007105213"</f>
        <v>469026200007105213</v>
      </c>
      <c r="D1759" t="str">
        <f>"248030203729"</f>
        <v>248030203729</v>
      </c>
      <c r="L1759">
        <v>2408</v>
      </c>
      <c r="M1759" t="s">
        <v>2457</v>
      </c>
      <c r="N1759" t="str">
        <f>"248030203729"</f>
        <v>248030203729</v>
      </c>
      <c r="O1759" t="str">
        <f>"469026200007105213"</f>
        <v>469026200007105213</v>
      </c>
    </row>
    <row r="1760" customFormat="1" spans="1:15">
      <c r="A1760">
        <v>2409</v>
      </c>
      <c r="B1760" t="s">
        <v>2458</v>
      </c>
      <c r="C1760" t="str">
        <f>"460034199807176120"</f>
        <v>460034199807176120</v>
      </c>
      <c r="D1760" t="str">
        <f>"248030102220"</f>
        <v>248030102220</v>
      </c>
      <c r="L1760">
        <v>2409</v>
      </c>
      <c r="M1760" t="s">
        <v>2458</v>
      </c>
      <c r="N1760" t="str">
        <f>"248030102220"</f>
        <v>248030102220</v>
      </c>
      <c r="O1760" t="str">
        <f>"460034199807176120"</f>
        <v>460034199807176120</v>
      </c>
    </row>
    <row r="1761" customFormat="1" spans="1:15">
      <c r="A1761">
        <v>2410</v>
      </c>
      <c r="B1761" t="s">
        <v>2459</v>
      </c>
      <c r="C1761" t="str">
        <f>"210283198710265546"</f>
        <v>210283198710265546</v>
      </c>
      <c r="L1761">
        <v>2410</v>
      </c>
      <c r="M1761" t="s">
        <v>2459</v>
      </c>
      <c r="O1761" t="str">
        <f>"210283198710265546"</f>
        <v>210283198710265546</v>
      </c>
    </row>
    <row r="1762" customFormat="1" spans="1:15">
      <c r="A1762">
        <v>2412</v>
      </c>
      <c r="B1762" t="s">
        <v>2460</v>
      </c>
      <c r="C1762" t="str">
        <f>"450331200109223621"</f>
        <v>450331200109223621</v>
      </c>
      <c r="D1762" t="str">
        <f>"248030502827"</f>
        <v>248030502827</v>
      </c>
      <c r="L1762">
        <v>2412</v>
      </c>
      <c r="M1762" t="s">
        <v>2460</v>
      </c>
      <c r="N1762" t="str">
        <f>"248030502827"</f>
        <v>248030502827</v>
      </c>
      <c r="O1762" t="str">
        <f>"450331200109223621"</f>
        <v>450331200109223621</v>
      </c>
    </row>
    <row r="1763" customFormat="1" spans="1:15">
      <c r="A1763">
        <v>2413</v>
      </c>
      <c r="B1763" t="s">
        <v>2461</v>
      </c>
      <c r="C1763" t="str">
        <f>"460028199806241640"</f>
        <v>460028199806241640</v>
      </c>
      <c r="D1763" t="str">
        <f>"248030101001"</f>
        <v>248030101001</v>
      </c>
      <c r="L1763">
        <v>2413</v>
      </c>
      <c r="M1763" t="s">
        <v>2461</v>
      </c>
      <c r="N1763" t="str">
        <f>"248030101001"</f>
        <v>248030101001</v>
      </c>
      <c r="O1763" t="str">
        <f>"460028199806241640"</f>
        <v>460028199806241640</v>
      </c>
    </row>
    <row r="1764" customFormat="1" spans="1:15">
      <c r="A1764">
        <v>2414</v>
      </c>
      <c r="B1764" t="s">
        <v>2462</v>
      </c>
      <c r="C1764" t="str">
        <f>"460007200205155361"</f>
        <v>460007200205155361</v>
      </c>
      <c r="D1764" t="str">
        <f>"248030301517"</f>
        <v>248030301517</v>
      </c>
      <c r="L1764">
        <v>2414</v>
      </c>
      <c r="M1764" t="s">
        <v>2462</v>
      </c>
      <c r="N1764" t="str">
        <f>"248030301517"</f>
        <v>248030301517</v>
      </c>
      <c r="O1764" t="str">
        <f>"460007200205155361"</f>
        <v>460007200205155361</v>
      </c>
    </row>
    <row r="1765" customFormat="1" spans="1:15">
      <c r="A1765">
        <v>2415</v>
      </c>
      <c r="B1765" t="s">
        <v>2463</v>
      </c>
      <c r="C1765" t="str">
        <f>"460027199802264726"</f>
        <v>460027199802264726</v>
      </c>
      <c r="D1765" t="str">
        <f>"248030500811"</f>
        <v>248030500811</v>
      </c>
      <c r="L1765">
        <v>2415</v>
      </c>
      <c r="M1765" t="s">
        <v>2463</v>
      </c>
      <c r="N1765" t="str">
        <f>"248030500811"</f>
        <v>248030500811</v>
      </c>
      <c r="O1765" t="str">
        <f>"460027199802264726"</f>
        <v>460027199802264726</v>
      </c>
    </row>
    <row r="1766" customFormat="1" spans="1:15">
      <c r="A1766">
        <v>2418</v>
      </c>
      <c r="B1766" t="s">
        <v>2464</v>
      </c>
      <c r="C1766" t="str">
        <f>"460036199412256823"</f>
        <v>460036199412256823</v>
      </c>
      <c r="D1766" t="str">
        <f>"248030402111"</f>
        <v>248030402111</v>
      </c>
      <c r="L1766">
        <v>2418</v>
      </c>
      <c r="M1766" t="s">
        <v>2464</v>
      </c>
      <c r="N1766" t="str">
        <f>"248030402111"</f>
        <v>248030402111</v>
      </c>
      <c r="O1766" t="str">
        <f>"460036199412256823"</f>
        <v>460036199412256823</v>
      </c>
    </row>
    <row r="1767" customFormat="1" spans="1:15">
      <c r="A1767">
        <v>2419</v>
      </c>
      <c r="B1767" t="s">
        <v>139</v>
      </c>
      <c r="C1767" t="str">
        <f>"460004199910293618"</f>
        <v>460004199910293618</v>
      </c>
      <c r="D1767" t="str">
        <f>"248030203828"</f>
        <v>248030203828</v>
      </c>
      <c r="L1767">
        <v>2419</v>
      </c>
      <c r="M1767" t="s">
        <v>139</v>
      </c>
      <c r="N1767" t="str">
        <f>"248030203828"</f>
        <v>248030203828</v>
      </c>
      <c r="O1767" t="str">
        <f>"460004199910293618"</f>
        <v>460004199910293618</v>
      </c>
    </row>
    <row r="1768" customFormat="1" spans="1:15">
      <c r="A1768">
        <v>2420</v>
      </c>
      <c r="B1768" t="s">
        <v>25</v>
      </c>
      <c r="C1768" t="str">
        <f>"460033199512057806"</f>
        <v>460033199512057806</v>
      </c>
      <c r="D1768" t="str">
        <f>"248030403719"</f>
        <v>248030403719</v>
      </c>
      <c r="L1768">
        <v>2420</v>
      </c>
      <c r="M1768" t="s">
        <v>25</v>
      </c>
      <c r="N1768" t="str">
        <f>"248030403719"</f>
        <v>248030403719</v>
      </c>
      <c r="O1768" t="str">
        <f>"460033199512057806"</f>
        <v>460033199512057806</v>
      </c>
    </row>
    <row r="1769" customFormat="1" spans="1:15">
      <c r="A1769">
        <v>2421</v>
      </c>
      <c r="B1769" t="s">
        <v>2465</v>
      </c>
      <c r="C1769" t="str">
        <f>"460028199409220029"</f>
        <v>460028199409220029</v>
      </c>
      <c r="D1769" t="str">
        <f>"248030404110"</f>
        <v>248030404110</v>
      </c>
      <c r="L1769">
        <v>2421</v>
      </c>
      <c r="M1769" t="s">
        <v>2465</v>
      </c>
      <c r="N1769" t="str">
        <f>"248030404110"</f>
        <v>248030404110</v>
      </c>
      <c r="O1769" t="str">
        <f>"460028199409220029"</f>
        <v>460028199409220029</v>
      </c>
    </row>
    <row r="1770" customFormat="1" spans="1:15">
      <c r="A1770">
        <v>2422</v>
      </c>
      <c r="B1770" t="s">
        <v>2466</v>
      </c>
      <c r="C1770" t="str">
        <f>"469007199810107627"</f>
        <v>469007199810107627</v>
      </c>
      <c r="D1770" t="str">
        <f>"248030102914"</f>
        <v>248030102914</v>
      </c>
      <c r="L1770">
        <v>2422</v>
      </c>
      <c r="M1770" t="s">
        <v>2466</v>
      </c>
      <c r="N1770" t="str">
        <f>"248030102914"</f>
        <v>248030102914</v>
      </c>
      <c r="O1770" t="str">
        <f>"469007199810107627"</f>
        <v>469007199810107627</v>
      </c>
    </row>
    <row r="1771" customFormat="1" spans="1:15">
      <c r="A1771">
        <v>2423</v>
      </c>
      <c r="B1771" t="s">
        <v>2467</v>
      </c>
      <c r="C1771" t="str">
        <f>"320819199412125424"</f>
        <v>320819199412125424</v>
      </c>
      <c r="D1771" t="str">
        <f>"248030401006"</f>
        <v>248030401006</v>
      </c>
      <c r="L1771">
        <v>2423</v>
      </c>
      <c r="M1771" t="s">
        <v>2467</v>
      </c>
      <c r="N1771" t="str">
        <f>"248030401006"</f>
        <v>248030401006</v>
      </c>
      <c r="O1771" t="str">
        <f>"320819199412125424"</f>
        <v>320819199412125424</v>
      </c>
    </row>
    <row r="1772" customFormat="1" spans="1:15">
      <c r="A1772">
        <v>2424</v>
      </c>
      <c r="B1772" t="s">
        <v>2468</v>
      </c>
      <c r="C1772" t="str">
        <f>"460028199806293221"</f>
        <v>460028199806293221</v>
      </c>
      <c r="L1772">
        <v>2424</v>
      </c>
      <c r="M1772" t="s">
        <v>2468</v>
      </c>
      <c r="O1772" t="str">
        <f>"460028199806293221"</f>
        <v>460028199806293221</v>
      </c>
    </row>
    <row r="1773" customFormat="1" spans="1:15">
      <c r="A1773">
        <v>2425</v>
      </c>
      <c r="B1773" t="s">
        <v>2469</v>
      </c>
      <c r="C1773" t="str">
        <f>"410503198609245008"</f>
        <v>410503198609245008</v>
      </c>
      <c r="L1773">
        <v>2425</v>
      </c>
      <c r="M1773" t="s">
        <v>2469</v>
      </c>
      <c r="O1773" t="str">
        <f>"410503198609245008"</f>
        <v>410503198609245008</v>
      </c>
    </row>
    <row r="1774" customFormat="1" spans="1:15">
      <c r="A1774">
        <v>2426</v>
      </c>
      <c r="B1774" t="s">
        <v>2470</v>
      </c>
      <c r="C1774" t="str">
        <f>"230604199604304120"</f>
        <v>230604199604304120</v>
      </c>
      <c r="D1774" t="str">
        <f>"248030502309"</f>
        <v>248030502309</v>
      </c>
      <c r="L1774">
        <v>2426</v>
      </c>
      <c r="M1774" t="s">
        <v>2470</v>
      </c>
      <c r="N1774" t="str">
        <f>"248030502309"</f>
        <v>248030502309</v>
      </c>
      <c r="O1774" t="str">
        <f>"230604199604304120"</f>
        <v>230604199604304120</v>
      </c>
    </row>
    <row r="1775" customFormat="1" spans="1:15">
      <c r="A1775">
        <v>2427</v>
      </c>
      <c r="B1775" t="s">
        <v>2471</v>
      </c>
      <c r="C1775" t="str">
        <f>"460036200201215226"</f>
        <v>460036200201215226</v>
      </c>
      <c r="D1775" t="str">
        <f>"248030103817"</f>
        <v>248030103817</v>
      </c>
      <c r="L1775">
        <v>2427</v>
      </c>
      <c r="M1775" t="s">
        <v>2471</v>
      </c>
      <c r="N1775" t="str">
        <f>"248030103817"</f>
        <v>248030103817</v>
      </c>
      <c r="O1775" t="str">
        <f>"460036200201215226"</f>
        <v>460036200201215226</v>
      </c>
    </row>
    <row r="1776" customFormat="1" spans="1:15">
      <c r="A1776">
        <v>2428</v>
      </c>
      <c r="B1776" t="s">
        <v>531</v>
      </c>
      <c r="C1776" t="str">
        <f>"46003320010609544X"</f>
        <v>46003320010609544X</v>
      </c>
      <c r="D1776" t="str">
        <f>"248030403304"</f>
        <v>248030403304</v>
      </c>
      <c r="L1776">
        <v>2428</v>
      </c>
      <c r="M1776" t="s">
        <v>531</v>
      </c>
      <c r="N1776" t="str">
        <f>"248030403304"</f>
        <v>248030403304</v>
      </c>
      <c r="O1776" t="str">
        <f>"46003320010609544X"</f>
        <v>46003320010609544X</v>
      </c>
    </row>
    <row r="1777" customFormat="1" spans="1:15">
      <c r="A1777">
        <v>2429</v>
      </c>
      <c r="B1777" t="s">
        <v>2472</v>
      </c>
      <c r="C1777" t="str">
        <f>"460004199504184045"</f>
        <v>460004199504184045</v>
      </c>
      <c r="D1777" t="str">
        <f>"248030401803"</f>
        <v>248030401803</v>
      </c>
      <c r="L1777">
        <v>2429</v>
      </c>
      <c r="M1777" t="s">
        <v>2472</v>
      </c>
      <c r="N1777" t="str">
        <f>"248030401803"</f>
        <v>248030401803</v>
      </c>
      <c r="O1777" t="str">
        <f>"460004199504184045"</f>
        <v>460004199504184045</v>
      </c>
    </row>
    <row r="1778" customFormat="1" spans="1:15">
      <c r="A1778">
        <v>2430</v>
      </c>
      <c r="B1778" t="s">
        <v>2473</v>
      </c>
      <c r="C1778" t="str">
        <f>"460103199709221822"</f>
        <v>460103199709221822</v>
      </c>
      <c r="L1778">
        <v>2430</v>
      </c>
      <c r="M1778" t="s">
        <v>2473</v>
      </c>
      <c r="O1778" t="str">
        <f>"460103199709221822"</f>
        <v>460103199709221822</v>
      </c>
    </row>
    <row r="1779" customFormat="1" spans="1:15">
      <c r="A1779">
        <v>2431</v>
      </c>
      <c r="B1779" t="s">
        <v>2474</v>
      </c>
      <c r="C1779" t="str">
        <f>"469003199608076729"</f>
        <v>469003199608076729</v>
      </c>
      <c r="D1779" t="str">
        <f>"248030200630"</f>
        <v>248030200630</v>
      </c>
      <c r="L1779">
        <v>2431</v>
      </c>
      <c r="M1779" t="s">
        <v>2474</v>
      </c>
      <c r="N1779" t="str">
        <f>"248030200630"</f>
        <v>248030200630</v>
      </c>
      <c r="O1779" t="str">
        <f>"469003199608076729"</f>
        <v>469003199608076729</v>
      </c>
    </row>
    <row r="1780" customFormat="1" spans="1:15">
      <c r="A1780">
        <v>2432</v>
      </c>
      <c r="B1780" t="s">
        <v>2475</v>
      </c>
      <c r="C1780" t="str">
        <f>"460002199506040018"</f>
        <v>460002199506040018</v>
      </c>
      <c r="D1780" t="str">
        <f>"248030102104"</f>
        <v>248030102104</v>
      </c>
      <c r="L1780">
        <v>2432</v>
      </c>
      <c r="M1780" t="s">
        <v>2475</v>
      </c>
      <c r="N1780" t="str">
        <f>"248030102104"</f>
        <v>248030102104</v>
      </c>
      <c r="O1780" t="str">
        <f>"460002199506040018"</f>
        <v>460002199506040018</v>
      </c>
    </row>
    <row r="1781" customFormat="1" spans="1:15">
      <c r="A1781">
        <v>2434</v>
      </c>
      <c r="B1781" t="s">
        <v>2476</v>
      </c>
      <c r="C1781" t="str">
        <f>"640322200111051936"</f>
        <v>640322200111051936</v>
      </c>
      <c r="D1781" t="str">
        <f>"248030301211"</f>
        <v>248030301211</v>
      </c>
      <c r="L1781">
        <v>2434</v>
      </c>
      <c r="M1781" t="s">
        <v>2476</v>
      </c>
      <c r="N1781" t="str">
        <f>"248030301211"</f>
        <v>248030301211</v>
      </c>
      <c r="O1781" t="str">
        <f>"640322200111051936"</f>
        <v>640322200111051936</v>
      </c>
    </row>
    <row r="1782" customFormat="1" spans="1:15">
      <c r="A1782">
        <v>2435</v>
      </c>
      <c r="B1782" t="s">
        <v>2477</v>
      </c>
      <c r="C1782" t="str">
        <f>"460200199312022928"</f>
        <v>460200199312022928</v>
      </c>
      <c r="D1782" t="str">
        <f>"248030102924"</f>
        <v>248030102924</v>
      </c>
      <c r="L1782">
        <v>2435</v>
      </c>
      <c r="M1782" t="s">
        <v>2477</v>
      </c>
      <c r="N1782" t="str">
        <f>"248030102924"</f>
        <v>248030102924</v>
      </c>
      <c r="O1782" t="str">
        <f>"460200199312022928"</f>
        <v>460200199312022928</v>
      </c>
    </row>
    <row r="1783" customFormat="1" spans="1:15">
      <c r="A1783">
        <v>2437</v>
      </c>
      <c r="B1783" t="s">
        <v>2478</v>
      </c>
      <c r="C1783" t="str">
        <f>"469024199903066824"</f>
        <v>469024199903066824</v>
      </c>
      <c r="D1783" t="str">
        <f>"248030300813"</f>
        <v>248030300813</v>
      </c>
      <c r="L1783">
        <v>2437</v>
      </c>
      <c r="M1783" t="s">
        <v>2478</v>
      </c>
      <c r="N1783" t="str">
        <f>"248030300813"</f>
        <v>248030300813</v>
      </c>
      <c r="O1783" t="str">
        <f>"469024199903066824"</f>
        <v>469024199903066824</v>
      </c>
    </row>
    <row r="1784" customFormat="1" spans="1:15">
      <c r="A1784">
        <v>2439</v>
      </c>
      <c r="B1784" t="s">
        <v>2479</v>
      </c>
      <c r="C1784" t="str">
        <f>"142724199008163123"</f>
        <v>142724199008163123</v>
      </c>
      <c r="D1784" t="str">
        <f>"248030202817"</f>
        <v>248030202817</v>
      </c>
      <c r="L1784">
        <v>2439</v>
      </c>
      <c r="M1784" t="s">
        <v>2479</v>
      </c>
      <c r="N1784" t="str">
        <f>"248030202817"</f>
        <v>248030202817</v>
      </c>
      <c r="O1784" t="str">
        <f>"142724199008163123"</f>
        <v>142724199008163123</v>
      </c>
    </row>
    <row r="1785" customFormat="1" spans="1:15">
      <c r="A1785">
        <v>2440</v>
      </c>
      <c r="B1785" t="s">
        <v>2480</v>
      </c>
      <c r="C1785" t="str">
        <f>"460027199810290393"</f>
        <v>460027199810290393</v>
      </c>
      <c r="D1785" t="str">
        <f>"248030402403"</f>
        <v>248030402403</v>
      </c>
      <c r="L1785">
        <v>2440</v>
      </c>
      <c r="M1785" t="s">
        <v>2480</v>
      </c>
      <c r="N1785" t="str">
        <f>"248030402403"</f>
        <v>248030402403</v>
      </c>
      <c r="O1785" t="str">
        <f>"460027199810290393"</f>
        <v>460027199810290393</v>
      </c>
    </row>
    <row r="1786" customFormat="1" spans="1:15">
      <c r="A1786">
        <v>2441</v>
      </c>
      <c r="B1786" t="s">
        <v>2481</v>
      </c>
      <c r="C1786" t="str">
        <f>"460028200108170844"</f>
        <v>460028200108170844</v>
      </c>
      <c r="D1786" t="str">
        <f>"248030503901"</f>
        <v>248030503901</v>
      </c>
      <c r="L1786">
        <v>2441</v>
      </c>
      <c r="M1786" t="s">
        <v>2481</v>
      </c>
      <c r="N1786" t="str">
        <f>"248030503901"</f>
        <v>248030503901</v>
      </c>
      <c r="O1786" t="str">
        <f>"460028200108170844"</f>
        <v>460028200108170844</v>
      </c>
    </row>
    <row r="1787" customFormat="1" spans="1:15">
      <c r="A1787">
        <v>2442</v>
      </c>
      <c r="B1787" t="s">
        <v>2482</v>
      </c>
      <c r="C1787" t="str">
        <f>"460007200201140023"</f>
        <v>460007200201140023</v>
      </c>
      <c r="D1787" t="str">
        <f>"248030302001"</f>
        <v>248030302001</v>
      </c>
      <c r="L1787">
        <v>2442</v>
      </c>
      <c r="M1787" t="s">
        <v>2482</v>
      </c>
      <c r="N1787" t="str">
        <f>"248030302001"</f>
        <v>248030302001</v>
      </c>
      <c r="O1787" t="str">
        <f>"460007200201140023"</f>
        <v>460007200201140023</v>
      </c>
    </row>
    <row r="1788" customFormat="1" spans="1:15">
      <c r="A1788">
        <v>2443</v>
      </c>
      <c r="B1788" t="s">
        <v>2483</v>
      </c>
      <c r="C1788" t="str">
        <f>"460028199212200083"</f>
        <v>460028199212200083</v>
      </c>
      <c r="L1788">
        <v>2443</v>
      </c>
      <c r="M1788" t="s">
        <v>2483</v>
      </c>
      <c r="O1788" t="str">
        <f>"460028199212200083"</f>
        <v>460028199212200083</v>
      </c>
    </row>
    <row r="1789" customFormat="1" spans="1:15">
      <c r="A1789">
        <v>2444</v>
      </c>
      <c r="B1789" t="s">
        <v>318</v>
      </c>
      <c r="C1789" t="str">
        <f>"460004199107105825"</f>
        <v>460004199107105825</v>
      </c>
      <c r="D1789" t="str">
        <f>"248030100520"</f>
        <v>248030100520</v>
      </c>
      <c r="L1789">
        <v>2444</v>
      </c>
      <c r="M1789" t="s">
        <v>318</v>
      </c>
      <c r="N1789" t="str">
        <f>"248030100520"</f>
        <v>248030100520</v>
      </c>
      <c r="O1789" t="str">
        <f>"460004199107105825"</f>
        <v>460004199107105825</v>
      </c>
    </row>
    <row r="1790" customFormat="1" spans="1:15">
      <c r="A1790">
        <v>2445</v>
      </c>
      <c r="B1790" t="s">
        <v>2484</v>
      </c>
      <c r="C1790" t="str">
        <f>"460003199907234629"</f>
        <v>460003199907234629</v>
      </c>
      <c r="L1790">
        <v>2445</v>
      </c>
      <c r="M1790" t="s">
        <v>2484</v>
      </c>
      <c r="O1790" t="str">
        <f>"460003199907234629"</f>
        <v>460003199907234629</v>
      </c>
    </row>
    <row r="1791" customFormat="1" spans="1:15">
      <c r="A1791">
        <v>2446</v>
      </c>
      <c r="B1791" t="s">
        <v>2485</v>
      </c>
      <c r="C1791" t="str">
        <f>"469003200204288421"</f>
        <v>469003200204288421</v>
      </c>
      <c r="D1791" t="str">
        <f>"248030300423"</f>
        <v>248030300423</v>
      </c>
      <c r="L1791">
        <v>2446</v>
      </c>
      <c r="M1791" t="s">
        <v>2485</v>
      </c>
      <c r="N1791" t="str">
        <f>"248030300423"</f>
        <v>248030300423</v>
      </c>
      <c r="O1791" t="str">
        <f>"469003200204288421"</f>
        <v>469003200204288421</v>
      </c>
    </row>
    <row r="1792" customFormat="1" spans="1:15">
      <c r="A1792">
        <v>2447</v>
      </c>
      <c r="B1792" t="s">
        <v>2486</v>
      </c>
      <c r="C1792" t="str">
        <f>"460002199606271542"</f>
        <v>460002199606271542</v>
      </c>
      <c r="D1792" t="str">
        <f>"248030300207"</f>
        <v>248030300207</v>
      </c>
      <c r="L1792">
        <v>2447</v>
      </c>
      <c r="M1792" t="s">
        <v>2486</v>
      </c>
      <c r="N1792" t="str">
        <f>"248030300207"</f>
        <v>248030300207</v>
      </c>
      <c r="O1792" t="str">
        <f>"460002199606271542"</f>
        <v>460002199606271542</v>
      </c>
    </row>
    <row r="1793" customFormat="1" spans="1:15">
      <c r="A1793">
        <v>2448</v>
      </c>
      <c r="B1793" t="s">
        <v>2487</v>
      </c>
      <c r="C1793" t="str">
        <f>"460002200103270527"</f>
        <v>460002200103270527</v>
      </c>
      <c r="L1793">
        <v>2448</v>
      </c>
      <c r="M1793" t="s">
        <v>2487</v>
      </c>
      <c r="O1793" t="str">
        <f>"460002200103270527"</f>
        <v>460002200103270527</v>
      </c>
    </row>
    <row r="1794" customFormat="1" spans="1:15">
      <c r="A1794">
        <v>2449</v>
      </c>
      <c r="B1794" t="s">
        <v>2488</v>
      </c>
      <c r="C1794" t="str">
        <f>"653125200107050626"</f>
        <v>653125200107050626</v>
      </c>
      <c r="D1794" t="str">
        <f>"248030301811"</f>
        <v>248030301811</v>
      </c>
      <c r="L1794">
        <v>2449</v>
      </c>
      <c r="M1794" t="s">
        <v>2488</v>
      </c>
      <c r="N1794" t="str">
        <f>"248030301811"</f>
        <v>248030301811</v>
      </c>
      <c r="O1794" t="str">
        <f>"653125200107050626"</f>
        <v>653125200107050626</v>
      </c>
    </row>
    <row r="1795" customFormat="1" spans="1:15">
      <c r="A1795">
        <v>2451</v>
      </c>
      <c r="B1795" t="s">
        <v>2489</v>
      </c>
      <c r="C1795" t="str">
        <f>"469024199912141224"</f>
        <v>469024199912141224</v>
      </c>
      <c r="D1795" t="str">
        <f>"248030203807"</f>
        <v>248030203807</v>
      </c>
      <c r="L1795">
        <v>2451</v>
      </c>
      <c r="M1795" t="s">
        <v>2489</v>
      </c>
      <c r="N1795" t="str">
        <f>"248030203807"</f>
        <v>248030203807</v>
      </c>
      <c r="O1795" t="str">
        <f>"469024199912141224"</f>
        <v>469024199912141224</v>
      </c>
    </row>
    <row r="1796" customFormat="1" spans="1:15">
      <c r="A1796">
        <v>2452</v>
      </c>
      <c r="B1796" t="s">
        <v>2490</v>
      </c>
      <c r="C1796" t="str">
        <f>"511725200205096919"</f>
        <v>511725200205096919</v>
      </c>
      <c r="D1796" t="str">
        <f>"248030200813"</f>
        <v>248030200813</v>
      </c>
      <c r="L1796">
        <v>2452</v>
      </c>
      <c r="M1796" t="s">
        <v>2490</v>
      </c>
      <c r="N1796" t="str">
        <f>"248030200813"</f>
        <v>248030200813</v>
      </c>
      <c r="O1796" t="str">
        <f>"511725200205096919"</f>
        <v>511725200205096919</v>
      </c>
    </row>
    <row r="1797" customFormat="1" spans="1:15">
      <c r="A1797">
        <v>2453</v>
      </c>
      <c r="B1797" t="s">
        <v>2491</v>
      </c>
      <c r="C1797" t="str">
        <f>"460025199204050629"</f>
        <v>460025199204050629</v>
      </c>
      <c r="L1797">
        <v>2453</v>
      </c>
      <c r="M1797" t="s">
        <v>2491</v>
      </c>
      <c r="O1797" t="str">
        <f>"460025199204050629"</f>
        <v>460025199204050629</v>
      </c>
    </row>
    <row r="1798" customFormat="1" spans="1:15">
      <c r="A1798">
        <v>2454</v>
      </c>
      <c r="B1798" t="s">
        <v>2492</v>
      </c>
      <c r="C1798" t="str">
        <f>"500240199511255525"</f>
        <v>500240199511255525</v>
      </c>
      <c r="D1798" t="str">
        <f>"248030503811"</f>
        <v>248030503811</v>
      </c>
      <c r="L1798">
        <v>2454</v>
      </c>
      <c r="M1798" t="s">
        <v>2492</v>
      </c>
      <c r="N1798" t="str">
        <f>"248030503811"</f>
        <v>248030503811</v>
      </c>
      <c r="O1798" t="str">
        <f>"500240199511255525"</f>
        <v>500240199511255525</v>
      </c>
    </row>
    <row r="1799" customFormat="1" spans="1:15">
      <c r="A1799">
        <v>2455</v>
      </c>
      <c r="B1799" t="s">
        <v>2493</v>
      </c>
      <c r="C1799" t="str">
        <f>"469007200209214363"</f>
        <v>469007200209214363</v>
      </c>
      <c r="D1799" t="str">
        <f>"248030101110"</f>
        <v>248030101110</v>
      </c>
      <c r="L1799">
        <v>2455</v>
      </c>
      <c r="M1799" t="s">
        <v>2493</v>
      </c>
      <c r="N1799" t="str">
        <f>"248030101110"</f>
        <v>248030101110</v>
      </c>
      <c r="O1799" t="str">
        <f>"469007200209214363"</f>
        <v>469007200209214363</v>
      </c>
    </row>
    <row r="1800" customFormat="1" spans="1:15">
      <c r="A1800">
        <v>2456</v>
      </c>
      <c r="B1800" t="s">
        <v>2494</v>
      </c>
      <c r="C1800" t="str">
        <f>"460200199705046314"</f>
        <v>460200199705046314</v>
      </c>
      <c r="D1800" t="str">
        <f>"248030104909"</f>
        <v>248030104909</v>
      </c>
      <c r="L1800">
        <v>2456</v>
      </c>
      <c r="M1800" t="s">
        <v>2494</v>
      </c>
      <c r="N1800" t="str">
        <f>"248030104909"</f>
        <v>248030104909</v>
      </c>
      <c r="O1800" t="str">
        <f>"460200199705046314"</f>
        <v>460200199705046314</v>
      </c>
    </row>
    <row r="1801" customFormat="1" spans="1:15">
      <c r="A1801">
        <v>2458</v>
      </c>
      <c r="B1801" t="s">
        <v>2495</v>
      </c>
      <c r="C1801" t="str">
        <f>"230103198904080642"</f>
        <v>230103198904080642</v>
      </c>
      <c r="D1801" t="str">
        <f>"248030101808"</f>
        <v>248030101808</v>
      </c>
      <c r="L1801">
        <v>2458</v>
      </c>
      <c r="M1801" t="s">
        <v>2495</v>
      </c>
      <c r="N1801" t="str">
        <f>"248030101808"</f>
        <v>248030101808</v>
      </c>
      <c r="O1801" t="str">
        <f>"230103198904080642"</f>
        <v>230103198904080642</v>
      </c>
    </row>
    <row r="1802" customFormat="1" spans="1:15">
      <c r="A1802">
        <v>2459</v>
      </c>
      <c r="B1802" t="s">
        <v>2496</v>
      </c>
      <c r="C1802" t="str">
        <f>"460027200009192355"</f>
        <v>460027200009192355</v>
      </c>
      <c r="D1802" t="str">
        <f>"248030202905"</f>
        <v>248030202905</v>
      </c>
      <c r="L1802">
        <v>2459</v>
      </c>
      <c r="M1802" t="s">
        <v>2496</v>
      </c>
      <c r="N1802" t="str">
        <f>"248030202905"</f>
        <v>248030202905</v>
      </c>
      <c r="O1802" t="str">
        <f>"460027200009192355"</f>
        <v>460027200009192355</v>
      </c>
    </row>
    <row r="1803" customFormat="1" spans="1:15">
      <c r="A1803">
        <v>2460</v>
      </c>
      <c r="B1803" t="s">
        <v>2497</v>
      </c>
      <c r="C1803" t="str">
        <f>"460003200201232627"</f>
        <v>460003200201232627</v>
      </c>
      <c r="D1803" t="str">
        <f>"248030103520"</f>
        <v>248030103520</v>
      </c>
      <c r="L1803">
        <v>2460</v>
      </c>
      <c r="M1803" t="s">
        <v>2497</v>
      </c>
      <c r="N1803" t="str">
        <f>"248030103520"</f>
        <v>248030103520</v>
      </c>
      <c r="O1803" t="str">
        <f>"460003200201232627"</f>
        <v>460003200201232627</v>
      </c>
    </row>
    <row r="1804" customFormat="1" spans="1:15">
      <c r="A1804">
        <v>2463</v>
      </c>
      <c r="B1804" t="s">
        <v>2498</v>
      </c>
      <c r="C1804" t="str">
        <f>"460003199603213044"</f>
        <v>460003199603213044</v>
      </c>
      <c r="D1804" t="str">
        <f>"248030401815"</f>
        <v>248030401815</v>
      </c>
      <c r="L1804">
        <v>2463</v>
      </c>
      <c r="M1804" t="s">
        <v>2498</v>
      </c>
      <c r="N1804" t="str">
        <f>"248030401815"</f>
        <v>248030401815</v>
      </c>
      <c r="O1804" t="str">
        <f>"460003199603213044"</f>
        <v>460003199603213044</v>
      </c>
    </row>
    <row r="1805" customFormat="1" spans="1:15">
      <c r="A1805">
        <v>2464</v>
      </c>
      <c r="B1805" t="s">
        <v>1831</v>
      </c>
      <c r="C1805" t="str">
        <f>"230129199402173927"</f>
        <v>230129199402173927</v>
      </c>
      <c r="D1805" t="str">
        <f>"248030101813"</f>
        <v>248030101813</v>
      </c>
      <c r="L1805">
        <v>2464</v>
      </c>
      <c r="M1805" t="s">
        <v>1831</v>
      </c>
      <c r="N1805" t="str">
        <f>"248030101813"</f>
        <v>248030101813</v>
      </c>
      <c r="O1805" t="str">
        <f>"230129199402173927"</f>
        <v>230129199402173927</v>
      </c>
    </row>
    <row r="1806" customFormat="1" spans="1:15">
      <c r="A1806">
        <v>2465</v>
      </c>
      <c r="B1806" t="s">
        <v>2499</v>
      </c>
      <c r="C1806" t="str">
        <f>"469007200106047646"</f>
        <v>469007200106047646</v>
      </c>
      <c r="D1806" t="str">
        <f>"248030301515"</f>
        <v>248030301515</v>
      </c>
      <c r="L1806">
        <v>2465</v>
      </c>
      <c r="M1806" t="s">
        <v>2499</v>
      </c>
      <c r="N1806" t="str">
        <f>"248030301515"</f>
        <v>248030301515</v>
      </c>
      <c r="O1806" t="str">
        <f>"469007200106047646"</f>
        <v>469007200106047646</v>
      </c>
    </row>
    <row r="1807" customFormat="1" spans="1:15">
      <c r="A1807">
        <v>2467</v>
      </c>
      <c r="B1807" t="s">
        <v>488</v>
      </c>
      <c r="C1807" t="str">
        <f>"460028200106210822"</f>
        <v>460028200106210822</v>
      </c>
      <c r="D1807" t="str">
        <f>"248030500327"</f>
        <v>248030500327</v>
      </c>
      <c r="L1807">
        <v>2467</v>
      </c>
      <c r="M1807" t="s">
        <v>488</v>
      </c>
      <c r="N1807" t="str">
        <f>"248030500327"</f>
        <v>248030500327</v>
      </c>
      <c r="O1807" t="str">
        <f>"460028200106210822"</f>
        <v>460028200106210822</v>
      </c>
    </row>
    <row r="1808" customFormat="1" spans="1:15">
      <c r="A1808">
        <v>2468</v>
      </c>
      <c r="B1808" t="s">
        <v>711</v>
      </c>
      <c r="C1808" t="str">
        <f>"460033200110258344"</f>
        <v>460033200110258344</v>
      </c>
      <c r="D1808" t="str">
        <f>"248030503910"</f>
        <v>248030503910</v>
      </c>
      <c r="L1808">
        <v>2468</v>
      </c>
      <c r="M1808" t="s">
        <v>711</v>
      </c>
      <c r="N1808" t="str">
        <f>"248030503910"</f>
        <v>248030503910</v>
      </c>
      <c r="O1808" t="str">
        <f>"460033200110258344"</f>
        <v>460033200110258344</v>
      </c>
    </row>
    <row r="1809" customFormat="1" spans="1:15">
      <c r="A1809">
        <v>2469</v>
      </c>
      <c r="B1809" t="s">
        <v>1898</v>
      </c>
      <c r="C1809" t="str">
        <f>"460027199202128544"</f>
        <v>460027199202128544</v>
      </c>
      <c r="D1809" t="str">
        <f>"248030403004"</f>
        <v>248030403004</v>
      </c>
      <c r="L1809">
        <v>2469</v>
      </c>
      <c r="M1809" t="s">
        <v>1898</v>
      </c>
      <c r="N1809" t="str">
        <f>"248030403004"</f>
        <v>248030403004</v>
      </c>
      <c r="O1809" t="str">
        <f>"460027199202128544"</f>
        <v>460027199202128544</v>
      </c>
    </row>
    <row r="1810" customFormat="1" spans="1:15">
      <c r="A1810">
        <v>2470</v>
      </c>
      <c r="B1810" t="s">
        <v>1949</v>
      </c>
      <c r="C1810" t="str">
        <f>"460028200006172822"</f>
        <v>460028200006172822</v>
      </c>
      <c r="D1810" t="str">
        <f>"248030402016"</f>
        <v>248030402016</v>
      </c>
      <c r="L1810">
        <v>2470</v>
      </c>
      <c r="M1810" t="s">
        <v>1949</v>
      </c>
      <c r="N1810" t="str">
        <f>"248030402016"</f>
        <v>248030402016</v>
      </c>
      <c r="O1810" t="str">
        <f>"460028200006172822"</f>
        <v>460028200006172822</v>
      </c>
    </row>
    <row r="1811" customFormat="1" spans="1:15">
      <c r="A1811">
        <v>2471</v>
      </c>
      <c r="B1811" t="s">
        <v>2500</v>
      </c>
      <c r="C1811" t="str">
        <f>"460028199711191222"</f>
        <v>460028199711191222</v>
      </c>
      <c r="D1811" t="str">
        <f>"248030103625"</f>
        <v>248030103625</v>
      </c>
      <c r="L1811">
        <v>2471</v>
      </c>
      <c r="M1811" t="s">
        <v>2500</v>
      </c>
      <c r="N1811" t="str">
        <f>"248030103625"</f>
        <v>248030103625</v>
      </c>
      <c r="O1811" t="str">
        <f>"460028199711191222"</f>
        <v>460028199711191222</v>
      </c>
    </row>
    <row r="1812" customFormat="1" spans="1:15">
      <c r="A1812">
        <v>2472</v>
      </c>
      <c r="B1812" t="s">
        <v>2501</v>
      </c>
      <c r="C1812" t="str">
        <f>"350304200110212126"</f>
        <v>350304200110212126</v>
      </c>
      <c r="D1812" t="str">
        <f>"248030302214"</f>
        <v>248030302214</v>
      </c>
      <c r="L1812">
        <v>2472</v>
      </c>
      <c r="M1812" t="s">
        <v>2501</v>
      </c>
      <c r="N1812" t="str">
        <f>"248030302214"</f>
        <v>248030302214</v>
      </c>
      <c r="O1812" t="str">
        <f>"350304200110212126"</f>
        <v>350304200110212126</v>
      </c>
    </row>
    <row r="1813" customFormat="1" spans="1:15">
      <c r="A1813">
        <v>2473</v>
      </c>
      <c r="B1813" t="s">
        <v>2502</v>
      </c>
      <c r="C1813" t="str">
        <f>"460027199602122926"</f>
        <v>460027199602122926</v>
      </c>
      <c r="L1813">
        <v>2473</v>
      </c>
      <c r="M1813" t="s">
        <v>2502</v>
      </c>
      <c r="O1813" t="str">
        <f>"460027199602122926"</f>
        <v>460027199602122926</v>
      </c>
    </row>
    <row r="1814" customFormat="1" spans="1:15">
      <c r="A1814">
        <v>2475</v>
      </c>
      <c r="B1814" t="s">
        <v>2503</v>
      </c>
      <c r="C1814" t="str">
        <f>"460003199408022656"</f>
        <v>460003199408022656</v>
      </c>
      <c r="L1814">
        <v>2475</v>
      </c>
      <c r="M1814" t="s">
        <v>2503</v>
      </c>
      <c r="O1814" t="str">
        <f>"460003199408022656"</f>
        <v>460003199408022656</v>
      </c>
    </row>
    <row r="1815" customFormat="1" spans="1:15">
      <c r="A1815">
        <v>2476</v>
      </c>
      <c r="B1815" t="s">
        <v>2504</v>
      </c>
      <c r="C1815" t="str">
        <f>"460002199502211529"</f>
        <v>460002199502211529</v>
      </c>
      <c r="L1815">
        <v>2476</v>
      </c>
      <c r="M1815" t="s">
        <v>2504</v>
      </c>
      <c r="O1815" t="str">
        <f>"460002199502211529"</f>
        <v>460002199502211529</v>
      </c>
    </row>
    <row r="1816" customFormat="1" spans="1:15">
      <c r="A1816">
        <v>2478</v>
      </c>
      <c r="B1816" t="s">
        <v>2505</v>
      </c>
      <c r="C1816" t="str">
        <f>"469028200105314724"</f>
        <v>469028200105314724</v>
      </c>
      <c r="D1816" t="str">
        <f>"248030503902"</f>
        <v>248030503902</v>
      </c>
      <c r="L1816">
        <v>2478</v>
      </c>
      <c r="M1816" t="s">
        <v>2505</v>
      </c>
      <c r="N1816" t="str">
        <f>"248030503902"</f>
        <v>248030503902</v>
      </c>
      <c r="O1816" t="str">
        <f>"469028200105314724"</f>
        <v>469028200105314724</v>
      </c>
    </row>
    <row r="1817" customFormat="1" spans="1:15">
      <c r="A1817">
        <v>2482</v>
      </c>
      <c r="B1817" t="s">
        <v>2506</v>
      </c>
      <c r="C1817" t="str">
        <f>"460200200112040027"</f>
        <v>460200200112040027</v>
      </c>
      <c r="D1817" t="str">
        <f>"248030101921"</f>
        <v>248030101921</v>
      </c>
      <c r="L1817">
        <v>2482</v>
      </c>
      <c r="M1817" t="s">
        <v>2506</v>
      </c>
      <c r="N1817" t="str">
        <f>"248030101921"</f>
        <v>248030101921</v>
      </c>
      <c r="O1817" t="str">
        <f>"460200200112040027"</f>
        <v>460200200112040027</v>
      </c>
    </row>
    <row r="1818" customFormat="1" spans="1:15">
      <c r="A1818">
        <v>2484</v>
      </c>
      <c r="B1818" t="s">
        <v>2507</v>
      </c>
      <c r="C1818" t="str">
        <f>"460003200201094017"</f>
        <v>460003200201094017</v>
      </c>
      <c r="D1818" t="str">
        <f>"248030201306"</f>
        <v>248030201306</v>
      </c>
      <c r="L1818">
        <v>2484</v>
      </c>
      <c r="M1818" t="s">
        <v>2507</v>
      </c>
      <c r="N1818" t="str">
        <f>"248030201306"</f>
        <v>248030201306</v>
      </c>
      <c r="O1818" t="str">
        <f>"460003200201094017"</f>
        <v>460003200201094017</v>
      </c>
    </row>
    <row r="1819" customFormat="1" spans="1:15">
      <c r="A1819">
        <v>2485</v>
      </c>
      <c r="B1819" t="s">
        <v>2508</v>
      </c>
      <c r="C1819" t="str">
        <f>"460007199812020025"</f>
        <v>460007199812020025</v>
      </c>
      <c r="D1819" t="str">
        <f>"248030403628"</f>
        <v>248030403628</v>
      </c>
      <c r="L1819">
        <v>2485</v>
      </c>
      <c r="M1819" t="s">
        <v>2508</v>
      </c>
      <c r="N1819" t="str">
        <f>"248030403628"</f>
        <v>248030403628</v>
      </c>
      <c r="O1819" t="str">
        <f>"460007199812020025"</f>
        <v>460007199812020025</v>
      </c>
    </row>
    <row r="1820" customFormat="1" spans="1:15">
      <c r="A1820">
        <v>2489</v>
      </c>
      <c r="B1820" t="s">
        <v>2509</v>
      </c>
      <c r="C1820" t="str">
        <f>"46000320010618222X"</f>
        <v>46000320010618222X</v>
      </c>
      <c r="D1820" t="str">
        <f>"248030101212"</f>
        <v>248030101212</v>
      </c>
      <c r="L1820">
        <v>2489</v>
      </c>
      <c r="M1820" t="s">
        <v>2509</v>
      </c>
      <c r="N1820" t="str">
        <f>"248030101212"</f>
        <v>248030101212</v>
      </c>
      <c r="O1820" t="str">
        <f>"46000320010618222X"</f>
        <v>46000320010618222X</v>
      </c>
    </row>
    <row r="1821" customFormat="1" spans="1:15">
      <c r="A1821">
        <v>2491</v>
      </c>
      <c r="B1821" t="s">
        <v>2510</v>
      </c>
      <c r="C1821" t="str">
        <f>"460105200001082722"</f>
        <v>460105200001082722</v>
      </c>
      <c r="D1821" t="str">
        <f>"248030100722"</f>
        <v>248030100722</v>
      </c>
      <c r="L1821">
        <v>2491</v>
      </c>
      <c r="M1821" t="s">
        <v>2510</v>
      </c>
      <c r="N1821" t="str">
        <f>"248030100722"</f>
        <v>248030100722</v>
      </c>
      <c r="O1821" t="str">
        <f>"460105200001082722"</f>
        <v>460105200001082722</v>
      </c>
    </row>
    <row r="1822" customFormat="1" spans="1:15">
      <c r="A1822">
        <v>2492</v>
      </c>
      <c r="B1822" t="s">
        <v>2511</v>
      </c>
      <c r="C1822" t="str">
        <f>"620523200101223208"</f>
        <v>620523200101223208</v>
      </c>
      <c r="D1822" t="str">
        <f>"248030100207"</f>
        <v>248030100207</v>
      </c>
      <c r="L1822">
        <v>2492</v>
      </c>
      <c r="M1822" t="s">
        <v>2511</v>
      </c>
      <c r="N1822" t="str">
        <f>"248030100207"</f>
        <v>248030100207</v>
      </c>
      <c r="O1822" t="str">
        <f>"620523200101223208"</f>
        <v>620523200101223208</v>
      </c>
    </row>
    <row r="1823" customFormat="1" spans="1:15">
      <c r="A1823">
        <v>2494</v>
      </c>
      <c r="B1823" t="s">
        <v>2512</v>
      </c>
      <c r="C1823" t="str">
        <f>"410782198604082410"</f>
        <v>410782198604082410</v>
      </c>
      <c r="D1823" t="str">
        <f>"248030202110"</f>
        <v>248030202110</v>
      </c>
      <c r="L1823">
        <v>2494</v>
      </c>
      <c r="M1823" t="s">
        <v>2512</v>
      </c>
      <c r="N1823" t="str">
        <f>"248030202110"</f>
        <v>248030202110</v>
      </c>
      <c r="O1823" t="str">
        <f>"410782198604082410"</f>
        <v>410782198604082410</v>
      </c>
    </row>
    <row r="1824" customFormat="1" spans="1:15">
      <c r="A1824">
        <v>2495</v>
      </c>
      <c r="B1824" t="s">
        <v>2513</v>
      </c>
      <c r="C1824" t="str">
        <f>"460003199407124423"</f>
        <v>460003199407124423</v>
      </c>
      <c r="D1824" t="str">
        <f>"248030203722"</f>
        <v>248030203722</v>
      </c>
      <c r="L1824">
        <v>2495</v>
      </c>
      <c r="M1824" t="s">
        <v>2513</v>
      </c>
      <c r="N1824" t="str">
        <f>"248030203722"</f>
        <v>248030203722</v>
      </c>
      <c r="O1824" t="str">
        <f>"460003199407124423"</f>
        <v>460003199407124423</v>
      </c>
    </row>
    <row r="1825" customFormat="1" spans="1:15">
      <c r="A1825">
        <v>2496</v>
      </c>
      <c r="B1825" t="s">
        <v>2514</v>
      </c>
      <c r="C1825" t="str">
        <f>"460026200101010052"</f>
        <v>460026200101010052</v>
      </c>
      <c r="L1825">
        <v>2496</v>
      </c>
      <c r="M1825" t="s">
        <v>2514</v>
      </c>
      <c r="O1825" t="str">
        <f>"460026200101010052"</f>
        <v>460026200101010052</v>
      </c>
    </row>
    <row r="1826" customFormat="1" spans="1:15">
      <c r="A1826">
        <v>2497</v>
      </c>
      <c r="B1826" t="s">
        <v>146</v>
      </c>
      <c r="C1826" t="str">
        <f>"460005199605150019"</f>
        <v>460005199605150019</v>
      </c>
      <c r="D1826" t="str">
        <f>"248030301214"</f>
        <v>248030301214</v>
      </c>
      <c r="L1826">
        <v>2497</v>
      </c>
      <c r="M1826" t="s">
        <v>146</v>
      </c>
      <c r="N1826" t="str">
        <f>"248030301214"</f>
        <v>248030301214</v>
      </c>
      <c r="O1826" t="str">
        <f>"460005199605150019"</f>
        <v>460005199605150019</v>
      </c>
    </row>
    <row r="1827" customFormat="1" spans="1:15">
      <c r="A1827">
        <v>2498</v>
      </c>
      <c r="B1827" t="s">
        <v>2515</v>
      </c>
      <c r="C1827" t="str">
        <f>"460036200210200421"</f>
        <v>460036200210200421</v>
      </c>
      <c r="D1827" t="str">
        <f>"248030300530"</f>
        <v>248030300530</v>
      </c>
      <c r="L1827">
        <v>2498</v>
      </c>
      <c r="M1827" t="s">
        <v>2515</v>
      </c>
      <c r="N1827" t="str">
        <f>"248030300530"</f>
        <v>248030300530</v>
      </c>
      <c r="O1827" t="str">
        <f>"460036200210200421"</f>
        <v>460036200210200421</v>
      </c>
    </row>
    <row r="1828" customFormat="1" spans="1:15">
      <c r="A1828">
        <v>2499</v>
      </c>
      <c r="B1828" t="s">
        <v>2516</v>
      </c>
      <c r="C1828" t="str">
        <f>"460028198909180065"</f>
        <v>460028198909180065</v>
      </c>
      <c r="D1828" t="str">
        <f>"248030203327"</f>
        <v>248030203327</v>
      </c>
      <c r="L1828">
        <v>2499</v>
      </c>
      <c r="M1828" t="s">
        <v>2516</v>
      </c>
      <c r="N1828" t="str">
        <f>"248030203327"</f>
        <v>248030203327</v>
      </c>
      <c r="O1828" t="str">
        <f>"460028198909180065"</f>
        <v>460028198909180065</v>
      </c>
    </row>
    <row r="1829" customFormat="1" spans="1:15">
      <c r="A1829">
        <v>2500</v>
      </c>
      <c r="B1829" t="s">
        <v>2517</v>
      </c>
      <c r="C1829" t="str">
        <f>"460106199903162423"</f>
        <v>460106199903162423</v>
      </c>
      <c r="L1829">
        <v>2500</v>
      </c>
      <c r="M1829" t="s">
        <v>2517</v>
      </c>
      <c r="O1829" t="str">
        <f>"460106199903162423"</f>
        <v>460106199903162423</v>
      </c>
    </row>
    <row r="1830" customFormat="1" spans="1:15">
      <c r="A1830">
        <v>2501</v>
      </c>
      <c r="B1830" t="s">
        <v>2518</v>
      </c>
      <c r="C1830" t="str">
        <f>"460033199307144847"</f>
        <v>460033199307144847</v>
      </c>
      <c r="D1830" t="str">
        <f>"248030200409"</f>
        <v>248030200409</v>
      </c>
      <c r="L1830">
        <v>2501</v>
      </c>
      <c r="M1830" t="s">
        <v>2518</v>
      </c>
      <c r="N1830" t="str">
        <f>"248030200409"</f>
        <v>248030200409</v>
      </c>
      <c r="O1830" t="str">
        <f>"460033199307144847"</f>
        <v>460033199307144847</v>
      </c>
    </row>
    <row r="1831" customFormat="1" spans="1:15">
      <c r="A1831">
        <v>2502</v>
      </c>
      <c r="B1831" t="s">
        <v>2519</v>
      </c>
      <c r="C1831" t="str">
        <f>"350525199904023519"</f>
        <v>350525199904023519</v>
      </c>
      <c r="D1831" t="str">
        <f>"248030202328"</f>
        <v>248030202328</v>
      </c>
      <c r="L1831">
        <v>2502</v>
      </c>
      <c r="M1831" t="s">
        <v>2519</v>
      </c>
      <c r="N1831" t="str">
        <f>"248030202328"</f>
        <v>248030202328</v>
      </c>
      <c r="O1831" t="str">
        <f>"350525199904023519"</f>
        <v>350525199904023519</v>
      </c>
    </row>
    <row r="1832" customFormat="1" spans="1:15">
      <c r="A1832">
        <v>2503</v>
      </c>
      <c r="B1832" t="s">
        <v>2520</v>
      </c>
      <c r="C1832" t="str">
        <f>"411421199412270026"</f>
        <v>411421199412270026</v>
      </c>
      <c r="D1832" t="str">
        <f>"248030401124"</f>
        <v>248030401124</v>
      </c>
      <c r="L1832">
        <v>2503</v>
      </c>
      <c r="M1832" t="s">
        <v>2520</v>
      </c>
      <c r="N1832" t="str">
        <f>"248030401124"</f>
        <v>248030401124</v>
      </c>
      <c r="O1832" t="str">
        <f>"411421199412270026"</f>
        <v>411421199412270026</v>
      </c>
    </row>
    <row r="1833" customFormat="1" spans="1:15">
      <c r="A1833">
        <v>2504</v>
      </c>
      <c r="B1833" t="s">
        <v>2521</v>
      </c>
      <c r="C1833" t="str">
        <f>"150430200010260025"</f>
        <v>150430200010260025</v>
      </c>
      <c r="D1833" t="str">
        <f>"248030103823"</f>
        <v>248030103823</v>
      </c>
      <c r="L1833">
        <v>2504</v>
      </c>
      <c r="M1833" t="s">
        <v>2521</v>
      </c>
      <c r="N1833" t="str">
        <f>"248030103823"</f>
        <v>248030103823</v>
      </c>
      <c r="O1833" t="str">
        <f>"150430200010260025"</f>
        <v>150430200010260025</v>
      </c>
    </row>
    <row r="1834" customFormat="1" spans="1:15">
      <c r="A1834">
        <v>2505</v>
      </c>
      <c r="B1834" t="s">
        <v>814</v>
      </c>
      <c r="C1834" t="str">
        <f>"469003200002266128"</f>
        <v>469003200002266128</v>
      </c>
      <c r="L1834">
        <v>2505</v>
      </c>
      <c r="M1834" t="s">
        <v>814</v>
      </c>
      <c r="O1834" t="str">
        <f>"469003200002266128"</f>
        <v>469003200002266128</v>
      </c>
    </row>
    <row r="1835" customFormat="1" spans="1:15">
      <c r="A1835">
        <v>2506</v>
      </c>
      <c r="B1835" t="s">
        <v>2522</v>
      </c>
      <c r="C1835" t="str">
        <f>"460004200212205241"</f>
        <v>460004200212205241</v>
      </c>
      <c r="D1835" t="str">
        <f>"248030300607"</f>
        <v>248030300607</v>
      </c>
      <c r="L1835">
        <v>2506</v>
      </c>
      <c r="M1835" t="s">
        <v>2522</v>
      </c>
      <c r="N1835" t="str">
        <f>"248030300607"</f>
        <v>248030300607</v>
      </c>
      <c r="O1835" t="str">
        <f>"460004200212205241"</f>
        <v>460004200212205241</v>
      </c>
    </row>
    <row r="1836" customFormat="1" spans="1:15">
      <c r="A1836">
        <v>2509</v>
      </c>
      <c r="B1836" t="s">
        <v>2523</v>
      </c>
      <c r="C1836" t="str">
        <f>"460034199907120423"</f>
        <v>460034199907120423</v>
      </c>
      <c r="D1836" t="str">
        <f>"248030501019"</f>
        <v>248030501019</v>
      </c>
      <c r="L1836">
        <v>2509</v>
      </c>
      <c r="M1836" t="s">
        <v>2523</v>
      </c>
      <c r="N1836" t="str">
        <f>"248030501019"</f>
        <v>248030501019</v>
      </c>
      <c r="O1836" t="str">
        <f>"460034199907120423"</f>
        <v>460034199907120423</v>
      </c>
    </row>
    <row r="1837" customFormat="1" spans="1:15">
      <c r="A1837">
        <v>2511</v>
      </c>
      <c r="B1837" t="s">
        <v>2524</v>
      </c>
      <c r="C1837" t="str">
        <f>"460200199711154442"</f>
        <v>460200199711154442</v>
      </c>
      <c r="D1837" t="str">
        <f>"248030103121"</f>
        <v>248030103121</v>
      </c>
      <c r="L1837">
        <v>2511</v>
      </c>
      <c r="M1837" t="s">
        <v>2524</v>
      </c>
      <c r="N1837" t="str">
        <f>"248030103121"</f>
        <v>248030103121</v>
      </c>
      <c r="O1837" t="str">
        <f>"460200199711154442"</f>
        <v>460200199711154442</v>
      </c>
    </row>
    <row r="1838" customFormat="1" spans="1:15">
      <c r="A1838">
        <v>2512</v>
      </c>
      <c r="B1838" t="s">
        <v>2525</v>
      </c>
      <c r="C1838" t="str">
        <f>"460033199604123903"</f>
        <v>460033199604123903</v>
      </c>
      <c r="D1838" t="str">
        <f>"248030102728"</f>
        <v>248030102728</v>
      </c>
      <c r="L1838">
        <v>2512</v>
      </c>
      <c r="M1838" t="s">
        <v>2525</v>
      </c>
      <c r="N1838" t="str">
        <f>"248030102728"</f>
        <v>248030102728</v>
      </c>
      <c r="O1838" t="str">
        <f>"460033199604123903"</f>
        <v>460033199604123903</v>
      </c>
    </row>
    <row r="1839" customFormat="1" spans="1:15">
      <c r="A1839">
        <v>2513</v>
      </c>
      <c r="B1839" t="s">
        <v>2526</v>
      </c>
      <c r="C1839" t="str">
        <f>"46003119981224482X"</f>
        <v>46003119981224482X</v>
      </c>
      <c r="D1839" t="str">
        <f>"248030102821"</f>
        <v>248030102821</v>
      </c>
      <c r="L1839">
        <v>2513</v>
      </c>
      <c r="M1839" t="s">
        <v>2526</v>
      </c>
      <c r="N1839" t="str">
        <f>"248030102821"</f>
        <v>248030102821</v>
      </c>
      <c r="O1839" t="str">
        <f>"46003119981224482X"</f>
        <v>46003119981224482X</v>
      </c>
    </row>
    <row r="1840" customFormat="1" spans="1:15">
      <c r="A1840">
        <v>2515</v>
      </c>
      <c r="B1840" t="s">
        <v>2527</v>
      </c>
      <c r="C1840" t="str">
        <f>"46000320001225662X"</f>
        <v>46000320001225662X</v>
      </c>
      <c r="D1840" t="str">
        <f>"248030500527"</f>
        <v>248030500527</v>
      </c>
      <c r="L1840">
        <v>2515</v>
      </c>
      <c r="M1840" t="s">
        <v>2527</v>
      </c>
      <c r="N1840" t="str">
        <f>"248030500527"</f>
        <v>248030500527</v>
      </c>
      <c r="O1840" t="str">
        <f>"46000320001225662X"</f>
        <v>46000320001225662X</v>
      </c>
    </row>
    <row r="1841" customFormat="1" spans="1:15">
      <c r="A1841">
        <v>2516</v>
      </c>
      <c r="B1841" t="s">
        <v>2528</v>
      </c>
      <c r="C1841" t="str">
        <f>"460006199310232726"</f>
        <v>460006199310232726</v>
      </c>
      <c r="L1841">
        <v>2516</v>
      </c>
      <c r="M1841" t="s">
        <v>2528</v>
      </c>
      <c r="O1841" t="str">
        <f>"460006199310232726"</f>
        <v>460006199310232726</v>
      </c>
    </row>
    <row r="1842" customFormat="1" spans="1:15">
      <c r="A1842">
        <v>2517</v>
      </c>
      <c r="B1842" t="s">
        <v>2529</v>
      </c>
      <c r="C1842" t="str">
        <f>"370406199806296627"</f>
        <v>370406199806296627</v>
      </c>
      <c r="L1842">
        <v>2517</v>
      </c>
      <c r="M1842" t="s">
        <v>2529</v>
      </c>
      <c r="O1842" t="str">
        <f>"370406199806296627"</f>
        <v>370406199806296627</v>
      </c>
    </row>
    <row r="1843" customFormat="1" spans="1:15">
      <c r="A1843">
        <v>2518</v>
      </c>
      <c r="B1843" t="s">
        <v>2530</v>
      </c>
      <c r="C1843" t="str">
        <f>"460104199510060925"</f>
        <v>460104199510060925</v>
      </c>
      <c r="L1843">
        <v>2518</v>
      </c>
      <c r="M1843" t="s">
        <v>2530</v>
      </c>
      <c r="O1843" t="str">
        <f>"460104199510060925"</f>
        <v>460104199510060925</v>
      </c>
    </row>
    <row r="1844" customFormat="1" spans="1:15">
      <c r="A1844">
        <v>2519</v>
      </c>
      <c r="B1844" t="s">
        <v>2531</v>
      </c>
      <c r="C1844" t="str">
        <f>"460002199307211515"</f>
        <v>460002199307211515</v>
      </c>
      <c r="D1844" t="str">
        <f>"248030201101"</f>
        <v>248030201101</v>
      </c>
      <c r="L1844">
        <v>2519</v>
      </c>
      <c r="M1844" t="s">
        <v>2531</v>
      </c>
      <c r="N1844" t="str">
        <f>"248030201101"</f>
        <v>248030201101</v>
      </c>
      <c r="O1844" t="str">
        <f>"460002199307211515"</f>
        <v>460002199307211515</v>
      </c>
    </row>
    <row r="1845" customFormat="1" spans="1:15">
      <c r="A1845">
        <v>2520</v>
      </c>
      <c r="B1845" t="s">
        <v>2532</v>
      </c>
      <c r="C1845" t="str">
        <f>"460033198902153305"</f>
        <v>460033198902153305</v>
      </c>
      <c r="D1845" t="str">
        <f>"248030203707"</f>
        <v>248030203707</v>
      </c>
      <c r="L1845">
        <v>2520</v>
      </c>
      <c r="M1845" t="s">
        <v>2532</v>
      </c>
      <c r="N1845" t="str">
        <f>"248030203707"</f>
        <v>248030203707</v>
      </c>
      <c r="O1845" t="str">
        <f>"460033198902153305"</f>
        <v>460033198902153305</v>
      </c>
    </row>
    <row r="1846" customFormat="1" spans="1:15">
      <c r="A1846">
        <v>2521</v>
      </c>
      <c r="B1846" t="s">
        <v>2533</v>
      </c>
      <c r="C1846" t="str">
        <f>"460104199409010923"</f>
        <v>460104199409010923</v>
      </c>
      <c r="D1846" t="str">
        <f>"248030501228"</f>
        <v>248030501228</v>
      </c>
      <c r="L1846">
        <v>2521</v>
      </c>
      <c r="M1846" t="s">
        <v>2533</v>
      </c>
      <c r="N1846" t="str">
        <f>"248030501228"</f>
        <v>248030501228</v>
      </c>
      <c r="O1846" t="str">
        <f>"460104199409010923"</f>
        <v>460104199409010923</v>
      </c>
    </row>
    <row r="1847" customFormat="1" spans="1:15">
      <c r="A1847">
        <v>2524</v>
      </c>
      <c r="B1847" t="s">
        <v>2534</v>
      </c>
      <c r="C1847" t="str">
        <f>"460006199211280239"</f>
        <v>460006199211280239</v>
      </c>
      <c r="D1847" t="str">
        <f>"248030300629"</f>
        <v>248030300629</v>
      </c>
      <c r="L1847">
        <v>2524</v>
      </c>
      <c r="M1847" t="s">
        <v>2534</v>
      </c>
      <c r="N1847" t="str">
        <f>"248030300629"</f>
        <v>248030300629</v>
      </c>
      <c r="O1847" t="str">
        <f>"460006199211280239"</f>
        <v>460006199211280239</v>
      </c>
    </row>
    <row r="1848" customFormat="1" spans="1:15">
      <c r="A1848">
        <v>2525</v>
      </c>
      <c r="B1848" t="s">
        <v>773</v>
      </c>
      <c r="C1848" t="str">
        <f>"460006198810091611"</f>
        <v>460006198810091611</v>
      </c>
      <c r="D1848" t="str">
        <f>"248030202314"</f>
        <v>248030202314</v>
      </c>
      <c r="L1848">
        <v>2525</v>
      </c>
      <c r="M1848" t="s">
        <v>773</v>
      </c>
      <c r="N1848" t="str">
        <f>"248030202314"</f>
        <v>248030202314</v>
      </c>
      <c r="O1848" t="str">
        <f>"460006198810091611"</f>
        <v>460006198810091611</v>
      </c>
    </row>
    <row r="1849" customFormat="1" spans="1:15">
      <c r="A1849">
        <v>2526</v>
      </c>
      <c r="B1849" t="s">
        <v>2535</v>
      </c>
      <c r="C1849" t="str">
        <f>"460103199905183341"</f>
        <v>460103199905183341</v>
      </c>
      <c r="D1849" t="str">
        <f>"248030503618"</f>
        <v>248030503618</v>
      </c>
      <c r="L1849">
        <v>2526</v>
      </c>
      <c r="M1849" t="s">
        <v>2535</v>
      </c>
      <c r="N1849" t="str">
        <f>"248030503618"</f>
        <v>248030503618</v>
      </c>
      <c r="O1849" t="str">
        <f>"460103199905183341"</f>
        <v>460103199905183341</v>
      </c>
    </row>
    <row r="1850" customFormat="1" spans="1:15">
      <c r="A1850">
        <v>2527</v>
      </c>
      <c r="B1850" t="s">
        <v>2536</v>
      </c>
      <c r="C1850" t="str">
        <f>"460028199210080065"</f>
        <v>460028199210080065</v>
      </c>
      <c r="D1850" t="str">
        <f>"248030403606"</f>
        <v>248030403606</v>
      </c>
      <c r="L1850">
        <v>2527</v>
      </c>
      <c r="M1850" t="s">
        <v>2536</v>
      </c>
      <c r="N1850" t="str">
        <f>"248030403606"</f>
        <v>248030403606</v>
      </c>
      <c r="O1850" t="str">
        <f>"460028199210080065"</f>
        <v>460028199210080065</v>
      </c>
    </row>
    <row r="1851" customFormat="1" spans="1:15">
      <c r="A1851">
        <v>2528</v>
      </c>
      <c r="B1851" t="s">
        <v>2537</v>
      </c>
      <c r="C1851" t="str">
        <f>"460103199707172123"</f>
        <v>460103199707172123</v>
      </c>
      <c r="D1851" t="str">
        <f>"248030503411"</f>
        <v>248030503411</v>
      </c>
      <c r="L1851">
        <v>2528</v>
      </c>
      <c r="M1851" t="s">
        <v>2537</v>
      </c>
      <c r="N1851" t="str">
        <f>"248030503411"</f>
        <v>248030503411</v>
      </c>
      <c r="O1851" t="str">
        <f>"460103199707172123"</f>
        <v>460103199707172123</v>
      </c>
    </row>
    <row r="1852" customFormat="1" spans="1:15">
      <c r="A1852">
        <v>2529</v>
      </c>
      <c r="B1852" t="s">
        <v>2538</v>
      </c>
      <c r="C1852" t="str">
        <f>"460004199709172224"</f>
        <v>460004199709172224</v>
      </c>
      <c r="D1852" t="str">
        <f>"248030403209"</f>
        <v>248030403209</v>
      </c>
      <c r="L1852">
        <v>2529</v>
      </c>
      <c r="M1852" t="s">
        <v>2538</v>
      </c>
      <c r="N1852" t="str">
        <f>"248030403209"</f>
        <v>248030403209</v>
      </c>
      <c r="O1852" t="str">
        <f>"460004199709172224"</f>
        <v>460004199709172224</v>
      </c>
    </row>
    <row r="1853" customFormat="1" spans="1:15">
      <c r="A1853">
        <v>2530</v>
      </c>
      <c r="B1853" t="s">
        <v>298</v>
      </c>
      <c r="C1853" t="str">
        <f>"460027199704250611"</f>
        <v>460027199704250611</v>
      </c>
      <c r="D1853" t="str">
        <f>"248030201404"</f>
        <v>248030201404</v>
      </c>
      <c r="L1853">
        <v>2530</v>
      </c>
      <c r="M1853" t="s">
        <v>298</v>
      </c>
      <c r="N1853" t="str">
        <f>"248030201404"</f>
        <v>248030201404</v>
      </c>
      <c r="O1853" t="str">
        <f>"460027199704250611"</f>
        <v>460027199704250611</v>
      </c>
    </row>
    <row r="1854" customFormat="1" spans="1:15">
      <c r="A1854">
        <v>2531</v>
      </c>
      <c r="B1854" t="s">
        <v>2539</v>
      </c>
      <c r="C1854" t="str">
        <f>"469007199806087280"</f>
        <v>469007199806087280</v>
      </c>
      <c r="L1854">
        <v>2531</v>
      </c>
      <c r="M1854" t="s">
        <v>2539</v>
      </c>
      <c r="O1854" t="str">
        <f>"469007199806087280"</f>
        <v>469007199806087280</v>
      </c>
    </row>
    <row r="1855" customFormat="1" spans="1:15">
      <c r="A1855">
        <v>2532</v>
      </c>
      <c r="B1855" t="s">
        <v>2540</v>
      </c>
      <c r="C1855" t="str">
        <f>"460033200107162683"</f>
        <v>460033200107162683</v>
      </c>
      <c r="D1855" t="str">
        <f>"248030201221"</f>
        <v>248030201221</v>
      </c>
      <c r="L1855">
        <v>2532</v>
      </c>
      <c r="M1855" t="s">
        <v>2540</v>
      </c>
      <c r="N1855" t="str">
        <f>"248030201221"</f>
        <v>248030201221</v>
      </c>
      <c r="O1855" t="str">
        <f>"460033200107162683"</f>
        <v>460033200107162683</v>
      </c>
    </row>
    <row r="1856" customFormat="1" spans="1:15">
      <c r="A1856">
        <v>2533</v>
      </c>
      <c r="B1856" t="s">
        <v>2541</v>
      </c>
      <c r="C1856" t="str">
        <f>"440825199603103783"</f>
        <v>440825199603103783</v>
      </c>
      <c r="L1856">
        <v>2533</v>
      </c>
      <c r="M1856" t="s">
        <v>2541</v>
      </c>
      <c r="O1856" t="str">
        <f>"440825199603103783"</f>
        <v>440825199603103783</v>
      </c>
    </row>
    <row r="1857" customFormat="1" spans="1:15">
      <c r="A1857">
        <v>2534</v>
      </c>
      <c r="B1857" t="s">
        <v>2542</v>
      </c>
      <c r="C1857" t="str">
        <f>"371426199607287222"</f>
        <v>371426199607287222</v>
      </c>
      <c r="D1857" t="str">
        <f>"248030301621"</f>
        <v>248030301621</v>
      </c>
      <c r="L1857">
        <v>2534</v>
      </c>
      <c r="M1857" t="s">
        <v>2542</v>
      </c>
      <c r="N1857" t="str">
        <f>"248030301621"</f>
        <v>248030301621</v>
      </c>
      <c r="O1857" t="str">
        <f>"371426199607287222"</f>
        <v>371426199607287222</v>
      </c>
    </row>
    <row r="1858" customFormat="1" spans="1:15">
      <c r="A1858">
        <v>2536</v>
      </c>
      <c r="B1858" t="s">
        <v>2543</v>
      </c>
      <c r="C1858" t="str">
        <f>"460006199710114024"</f>
        <v>460006199710114024</v>
      </c>
      <c r="D1858" t="str">
        <f>"248030502621"</f>
        <v>248030502621</v>
      </c>
      <c r="L1858">
        <v>2536</v>
      </c>
      <c r="M1858" t="s">
        <v>2543</v>
      </c>
      <c r="N1858" t="str">
        <f>"248030502621"</f>
        <v>248030502621</v>
      </c>
      <c r="O1858" t="str">
        <f>"460006199710114024"</f>
        <v>460006199710114024</v>
      </c>
    </row>
    <row r="1859" customFormat="1" spans="1:15">
      <c r="A1859">
        <v>2537</v>
      </c>
      <c r="B1859" t="s">
        <v>2544</v>
      </c>
      <c r="C1859" t="str">
        <f>"469028200101020446"</f>
        <v>469028200101020446</v>
      </c>
      <c r="D1859" t="str">
        <f>"248030103027"</f>
        <v>248030103027</v>
      </c>
      <c r="L1859">
        <v>2537</v>
      </c>
      <c r="M1859" t="s">
        <v>2544</v>
      </c>
      <c r="N1859" t="str">
        <f>"248030103027"</f>
        <v>248030103027</v>
      </c>
      <c r="O1859" t="str">
        <f>"469028200101020446"</f>
        <v>469028200101020446</v>
      </c>
    </row>
    <row r="1860" customFormat="1" spans="1:15">
      <c r="A1860">
        <v>2539</v>
      </c>
      <c r="B1860" t="s">
        <v>2545</v>
      </c>
      <c r="C1860" t="str">
        <f>"460003199308172825"</f>
        <v>460003199308172825</v>
      </c>
      <c r="D1860" t="str">
        <f>"248030200511"</f>
        <v>248030200511</v>
      </c>
      <c r="L1860">
        <v>2539</v>
      </c>
      <c r="M1860" t="s">
        <v>2545</v>
      </c>
      <c r="N1860" t="str">
        <f>"248030200511"</f>
        <v>248030200511</v>
      </c>
      <c r="O1860" t="str">
        <f>"460003199308172825"</f>
        <v>460003199308172825</v>
      </c>
    </row>
    <row r="1861" customFormat="1" spans="1:15">
      <c r="A1861">
        <v>2540</v>
      </c>
      <c r="B1861" t="s">
        <v>2546</v>
      </c>
      <c r="C1861" t="str">
        <f>"460033200006053226"</f>
        <v>460033200006053226</v>
      </c>
      <c r="D1861" t="str">
        <f>"248030302521"</f>
        <v>248030302521</v>
      </c>
      <c r="L1861">
        <v>2540</v>
      </c>
      <c r="M1861" t="s">
        <v>2546</v>
      </c>
      <c r="N1861" t="str">
        <f>"248030302521"</f>
        <v>248030302521</v>
      </c>
      <c r="O1861" t="str">
        <f>"460033200006053226"</f>
        <v>460033200006053226</v>
      </c>
    </row>
    <row r="1862" customFormat="1" spans="1:15">
      <c r="A1862">
        <v>2541</v>
      </c>
      <c r="B1862" t="s">
        <v>2547</v>
      </c>
      <c r="C1862" t="str">
        <f>"460027199703278508"</f>
        <v>460027199703278508</v>
      </c>
      <c r="D1862" t="str">
        <f>"248030101210"</f>
        <v>248030101210</v>
      </c>
      <c r="L1862">
        <v>2541</v>
      </c>
      <c r="M1862" t="s">
        <v>2547</v>
      </c>
      <c r="N1862" t="str">
        <f>"248030101210"</f>
        <v>248030101210</v>
      </c>
      <c r="O1862" t="str">
        <f>"460027199703278508"</f>
        <v>460027199703278508</v>
      </c>
    </row>
    <row r="1863" customFormat="1" spans="1:15">
      <c r="A1863">
        <v>2542</v>
      </c>
      <c r="B1863" t="s">
        <v>2548</v>
      </c>
      <c r="C1863" t="str">
        <f>"460033198410013330"</f>
        <v>460033198410013330</v>
      </c>
      <c r="D1863" t="str">
        <f>"248030102604"</f>
        <v>248030102604</v>
      </c>
      <c r="L1863">
        <v>2542</v>
      </c>
      <c r="M1863" t="s">
        <v>2548</v>
      </c>
      <c r="N1863" t="str">
        <f>"248030102604"</f>
        <v>248030102604</v>
      </c>
      <c r="O1863" t="str">
        <f>"460033198410013330"</f>
        <v>460033198410013330</v>
      </c>
    </row>
    <row r="1864" customFormat="1" spans="1:15">
      <c r="A1864">
        <v>2543</v>
      </c>
      <c r="B1864" t="s">
        <v>2549</v>
      </c>
      <c r="C1864" t="str">
        <f>"232330199003230048"</f>
        <v>232330199003230048</v>
      </c>
      <c r="L1864">
        <v>2543</v>
      </c>
      <c r="M1864" t="s">
        <v>2549</v>
      </c>
      <c r="O1864" t="str">
        <f>"232330199003230048"</f>
        <v>232330199003230048</v>
      </c>
    </row>
    <row r="1865" customFormat="1" spans="1:15">
      <c r="A1865">
        <v>2544</v>
      </c>
      <c r="B1865" t="s">
        <v>2550</v>
      </c>
      <c r="C1865" t="str">
        <f>"220204199812155728"</f>
        <v>220204199812155728</v>
      </c>
      <c r="D1865" t="str">
        <f>"248030200503"</f>
        <v>248030200503</v>
      </c>
      <c r="L1865">
        <v>2544</v>
      </c>
      <c r="M1865" t="s">
        <v>2550</v>
      </c>
      <c r="N1865" t="str">
        <f>"248030200503"</f>
        <v>248030200503</v>
      </c>
      <c r="O1865" t="str">
        <f>"220204199812155728"</f>
        <v>220204199812155728</v>
      </c>
    </row>
    <row r="1866" customFormat="1" spans="1:15">
      <c r="A1866">
        <v>2545</v>
      </c>
      <c r="B1866" t="s">
        <v>2551</v>
      </c>
      <c r="C1866" t="str">
        <f>"469024199810160010"</f>
        <v>469024199810160010</v>
      </c>
      <c r="D1866" t="str">
        <f>"248030200421"</f>
        <v>248030200421</v>
      </c>
      <c r="L1866">
        <v>2545</v>
      </c>
      <c r="M1866" t="s">
        <v>2551</v>
      </c>
      <c r="N1866" t="str">
        <f>"248030200421"</f>
        <v>248030200421</v>
      </c>
      <c r="O1866" t="str">
        <f>"469024199810160010"</f>
        <v>469024199810160010</v>
      </c>
    </row>
    <row r="1867" customFormat="1" spans="1:15">
      <c r="A1867">
        <v>2547</v>
      </c>
      <c r="B1867" t="s">
        <v>2552</v>
      </c>
      <c r="C1867" t="str">
        <f>"460102199710162122"</f>
        <v>460102199710162122</v>
      </c>
      <c r="D1867" t="str">
        <f>"248030103630"</f>
        <v>248030103630</v>
      </c>
      <c r="L1867">
        <v>2547</v>
      </c>
      <c r="M1867" t="s">
        <v>2552</v>
      </c>
      <c r="N1867" t="str">
        <f>"248030103630"</f>
        <v>248030103630</v>
      </c>
      <c r="O1867" t="str">
        <f>"460102199710162122"</f>
        <v>460102199710162122</v>
      </c>
    </row>
    <row r="1868" customFormat="1" spans="1:15">
      <c r="A1868">
        <v>2549</v>
      </c>
      <c r="B1868" t="s">
        <v>2553</v>
      </c>
      <c r="C1868" t="str">
        <f>"469021200305240913"</f>
        <v>469021200305240913</v>
      </c>
      <c r="D1868" t="str">
        <f>"248030401515"</f>
        <v>248030401515</v>
      </c>
      <c r="L1868">
        <v>2549</v>
      </c>
      <c r="M1868" t="s">
        <v>2553</v>
      </c>
      <c r="N1868" t="str">
        <f>"248030401515"</f>
        <v>248030401515</v>
      </c>
      <c r="O1868" t="str">
        <f>"469021200305240913"</f>
        <v>469021200305240913</v>
      </c>
    </row>
    <row r="1869" customFormat="1" spans="1:15">
      <c r="A1869">
        <v>2551</v>
      </c>
      <c r="B1869" t="s">
        <v>688</v>
      </c>
      <c r="C1869" t="str">
        <f>"460003199607113323"</f>
        <v>460003199607113323</v>
      </c>
      <c r="D1869" t="str">
        <f>"248030403520"</f>
        <v>248030403520</v>
      </c>
      <c r="L1869">
        <v>2551</v>
      </c>
      <c r="M1869" t="s">
        <v>688</v>
      </c>
      <c r="N1869" t="str">
        <f>"248030403520"</f>
        <v>248030403520</v>
      </c>
      <c r="O1869" t="str">
        <f>"460003199607113323"</f>
        <v>460003199607113323</v>
      </c>
    </row>
    <row r="1870" customFormat="1" spans="1:15">
      <c r="A1870">
        <v>2552</v>
      </c>
      <c r="B1870" t="s">
        <v>720</v>
      </c>
      <c r="C1870" t="str">
        <f>"460027200008041723"</f>
        <v>460027200008041723</v>
      </c>
      <c r="D1870" t="str">
        <f>"248030103805"</f>
        <v>248030103805</v>
      </c>
      <c r="L1870">
        <v>2552</v>
      </c>
      <c r="M1870" t="s">
        <v>720</v>
      </c>
      <c r="N1870" t="str">
        <f>"248030103805"</f>
        <v>248030103805</v>
      </c>
      <c r="O1870" t="str">
        <f>"460027200008041723"</f>
        <v>460027200008041723</v>
      </c>
    </row>
    <row r="1871" customFormat="1" spans="1:15">
      <c r="A1871">
        <v>2553</v>
      </c>
      <c r="B1871" t="s">
        <v>2554</v>
      </c>
      <c r="C1871" t="str">
        <f>"460002199709155421"</f>
        <v>460002199709155421</v>
      </c>
      <c r="L1871">
        <v>2553</v>
      </c>
      <c r="M1871" t="s">
        <v>2554</v>
      </c>
      <c r="O1871" t="str">
        <f>"460002199709155421"</f>
        <v>460002199709155421</v>
      </c>
    </row>
    <row r="1872" customFormat="1" spans="1:15">
      <c r="A1872">
        <v>2554</v>
      </c>
      <c r="B1872" t="s">
        <v>2555</v>
      </c>
      <c r="C1872" t="str">
        <f>"460003199909274683"</f>
        <v>460003199909274683</v>
      </c>
      <c r="D1872" t="str">
        <f>"248030402712"</f>
        <v>248030402712</v>
      </c>
      <c r="L1872">
        <v>2554</v>
      </c>
      <c r="M1872" t="s">
        <v>2555</v>
      </c>
      <c r="N1872" t="str">
        <f>"248030402712"</f>
        <v>248030402712</v>
      </c>
      <c r="O1872" t="str">
        <f>"460003199909274683"</f>
        <v>460003199909274683</v>
      </c>
    </row>
    <row r="1873" customFormat="1" spans="1:15">
      <c r="A1873">
        <v>2555</v>
      </c>
      <c r="B1873" t="s">
        <v>1848</v>
      </c>
      <c r="C1873" t="str">
        <f>"460200200012135141"</f>
        <v>460200200012135141</v>
      </c>
      <c r="L1873">
        <v>2555</v>
      </c>
      <c r="M1873" t="s">
        <v>1848</v>
      </c>
      <c r="O1873" t="str">
        <f>"460200200012135141"</f>
        <v>460200200012135141</v>
      </c>
    </row>
    <row r="1874" customFormat="1" spans="1:15">
      <c r="A1874">
        <v>2557</v>
      </c>
      <c r="B1874" t="s">
        <v>2556</v>
      </c>
      <c r="C1874" t="str">
        <f>"46010319970625272X"</f>
        <v>46010319970625272X</v>
      </c>
      <c r="D1874" t="str">
        <f>"248030502006"</f>
        <v>248030502006</v>
      </c>
      <c r="L1874">
        <v>2557</v>
      </c>
      <c r="M1874" t="s">
        <v>2556</v>
      </c>
      <c r="N1874" t="str">
        <f>"248030502006"</f>
        <v>248030502006</v>
      </c>
      <c r="O1874" t="str">
        <f>"46010319970625272X"</f>
        <v>46010319970625272X</v>
      </c>
    </row>
    <row r="1875" customFormat="1" spans="1:15">
      <c r="A1875">
        <v>2558</v>
      </c>
      <c r="B1875" t="s">
        <v>2557</v>
      </c>
      <c r="C1875" t="str">
        <f>"460003199808127780"</f>
        <v>460003199808127780</v>
      </c>
      <c r="D1875" t="str">
        <f>"248030403408"</f>
        <v>248030403408</v>
      </c>
      <c r="L1875">
        <v>2558</v>
      </c>
      <c r="M1875" t="s">
        <v>2557</v>
      </c>
      <c r="N1875" t="str">
        <f>"248030403408"</f>
        <v>248030403408</v>
      </c>
      <c r="O1875" t="str">
        <f>"460003199808127780"</f>
        <v>460003199808127780</v>
      </c>
    </row>
    <row r="1876" customFormat="1" spans="1:15">
      <c r="A1876">
        <v>2559</v>
      </c>
      <c r="B1876" t="s">
        <v>811</v>
      </c>
      <c r="C1876" t="str">
        <f>"460007200012225001"</f>
        <v>460007200012225001</v>
      </c>
      <c r="D1876" t="str">
        <f>"248030501522"</f>
        <v>248030501522</v>
      </c>
      <c r="L1876">
        <v>2559</v>
      </c>
      <c r="M1876" t="s">
        <v>811</v>
      </c>
      <c r="N1876" t="str">
        <f>"248030501522"</f>
        <v>248030501522</v>
      </c>
      <c r="O1876" t="str">
        <f>"460007200012225001"</f>
        <v>460007200012225001</v>
      </c>
    </row>
    <row r="1877" customFormat="1" spans="1:15">
      <c r="A1877">
        <v>2561</v>
      </c>
      <c r="B1877" t="s">
        <v>2558</v>
      </c>
      <c r="C1877" t="str">
        <f>"460006200003158728"</f>
        <v>460006200003158728</v>
      </c>
      <c r="D1877" t="str">
        <f>"248030301710"</f>
        <v>248030301710</v>
      </c>
      <c r="L1877">
        <v>2561</v>
      </c>
      <c r="M1877" t="s">
        <v>2558</v>
      </c>
      <c r="N1877" t="str">
        <f>"248030301710"</f>
        <v>248030301710</v>
      </c>
      <c r="O1877" t="str">
        <f>"460006200003158728"</f>
        <v>460006200003158728</v>
      </c>
    </row>
    <row r="1878" customFormat="1" spans="1:15">
      <c r="A1878">
        <v>2564</v>
      </c>
      <c r="B1878" t="s">
        <v>2559</v>
      </c>
      <c r="C1878" t="str">
        <f>"460033199510283885"</f>
        <v>460033199510283885</v>
      </c>
      <c r="D1878" t="str">
        <f>"248030401315"</f>
        <v>248030401315</v>
      </c>
      <c r="L1878">
        <v>2564</v>
      </c>
      <c r="M1878" t="s">
        <v>2559</v>
      </c>
      <c r="N1878" t="str">
        <f>"248030401315"</f>
        <v>248030401315</v>
      </c>
      <c r="O1878" t="str">
        <f>"460033199510283885"</f>
        <v>460033199510283885</v>
      </c>
    </row>
    <row r="1879" customFormat="1" spans="1:15">
      <c r="A1879">
        <v>2565</v>
      </c>
      <c r="B1879" t="s">
        <v>2560</v>
      </c>
      <c r="C1879" t="str">
        <f>"411122200010038086"</f>
        <v>411122200010038086</v>
      </c>
      <c r="D1879" t="str">
        <f>"248030103406"</f>
        <v>248030103406</v>
      </c>
      <c r="L1879">
        <v>2565</v>
      </c>
      <c r="M1879" t="s">
        <v>2560</v>
      </c>
      <c r="N1879" t="str">
        <f>"248030103406"</f>
        <v>248030103406</v>
      </c>
      <c r="O1879" t="str">
        <f>"411122200010038086"</f>
        <v>411122200010038086</v>
      </c>
    </row>
    <row r="1880" customFormat="1" spans="1:15">
      <c r="A1880">
        <v>2567</v>
      </c>
      <c r="B1880" t="s">
        <v>2561</v>
      </c>
      <c r="C1880" t="str">
        <f>"421002199111161468"</f>
        <v>421002199111161468</v>
      </c>
      <c r="D1880" t="str">
        <f>"248030202725"</f>
        <v>248030202725</v>
      </c>
      <c r="L1880">
        <v>2567</v>
      </c>
      <c r="M1880" t="s">
        <v>2561</v>
      </c>
      <c r="N1880" t="str">
        <f>"248030202725"</f>
        <v>248030202725</v>
      </c>
      <c r="O1880" t="str">
        <f>"421002199111161468"</f>
        <v>421002199111161468</v>
      </c>
    </row>
    <row r="1881" customFormat="1" spans="1:15">
      <c r="A1881">
        <v>2568</v>
      </c>
      <c r="B1881" t="s">
        <v>2562</v>
      </c>
      <c r="C1881" t="str">
        <f>"460007199703187256"</f>
        <v>460007199703187256</v>
      </c>
      <c r="L1881">
        <v>2568</v>
      </c>
      <c r="M1881" t="s">
        <v>2562</v>
      </c>
      <c r="O1881" t="str">
        <f>"460007199703187256"</f>
        <v>460007199703187256</v>
      </c>
    </row>
    <row r="1882" customFormat="1" spans="1:15">
      <c r="A1882">
        <v>2569</v>
      </c>
      <c r="B1882" t="s">
        <v>385</v>
      </c>
      <c r="C1882" t="str">
        <f>"460005199903051019"</f>
        <v>460005199903051019</v>
      </c>
      <c r="D1882" t="str">
        <f>"248030403903"</f>
        <v>248030403903</v>
      </c>
      <c r="L1882">
        <v>2569</v>
      </c>
      <c r="M1882" t="s">
        <v>385</v>
      </c>
      <c r="N1882" t="str">
        <f>"248030403903"</f>
        <v>248030403903</v>
      </c>
      <c r="O1882" t="str">
        <f>"460005199903051019"</f>
        <v>460005199903051019</v>
      </c>
    </row>
    <row r="1883" customFormat="1" spans="1:15">
      <c r="A1883">
        <v>2570</v>
      </c>
      <c r="B1883" t="s">
        <v>2563</v>
      </c>
      <c r="C1883" t="str">
        <f>"469003199503296418"</f>
        <v>469003199503296418</v>
      </c>
      <c r="L1883">
        <v>2570</v>
      </c>
      <c r="M1883" t="s">
        <v>2563</v>
      </c>
      <c r="O1883" t="str">
        <f>"469003199503296418"</f>
        <v>469003199503296418</v>
      </c>
    </row>
    <row r="1884" customFormat="1" spans="1:15">
      <c r="A1884">
        <v>2572</v>
      </c>
      <c r="B1884" t="s">
        <v>2564</v>
      </c>
      <c r="C1884" t="str">
        <f>"430203199610153022"</f>
        <v>430203199610153022</v>
      </c>
      <c r="L1884">
        <v>2572</v>
      </c>
      <c r="M1884" t="s">
        <v>2564</v>
      </c>
      <c r="O1884" t="str">
        <f>"430203199610153022"</f>
        <v>430203199610153022</v>
      </c>
    </row>
    <row r="1885" customFormat="1" spans="1:15">
      <c r="A1885">
        <v>2573</v>
      </c>
      <c r="B1885" t="s">
        <v>2565</v>
      </c>
      <c r="C1885" t="str">
        <f>"362502200108202027"</f>
        <v>362502200108202027</v>
      </c>
      <c r="D1885" t="str">
        <f>"248030101002"</f>
        <v>248030101002</v>
      </c>
      <c r="L1885">
        <v>2573</v>
      </c>
      <c r="M1885" t="s">
        <v>2565</v>
      </c>
      <c r="N1885" t="str">
        <f>"248030101002"</f>
        <v>248030101002</v>
      </c>
      <c r="O1885" t="str">
        <f>"362502200108202027"</f>
        <v>362502200108202027</v>
      </c>
    </row>
    <row r="1886" customFormat="1" spans="1:15">
      <c r="A1886">
        <v>2574</v>
      </c>
      <c r="B1886" t="s">
        <v>2566</v>
      </c>
      <c r="C1886" t="str">
        <f>"460027199210108543"</f>
        <v>460027199210108543</v>
      </c>
      <c r="D1886" t="str">
        <f>"248030301504"</f>
        <v>248030301504</v>
      </c>
      <c r="L1886">
        <v>2574</v>
      </c>
      <c r="M1886" t="s">
        <v>2566</v>
      </c>
      <c r="N1886" t="str">
        <f>"248030301504"</f>
        <v>248030301504</v>
      </c>
      <c r="O1886" t="str">
        <f>"460027199210108543"</f>
        <v>460027199210108543</v>
      </c>
    </row>
    <row r="1887" customFormat="1" spans="1:15">
      <c r="A1887">
        <v>2575</v>
      </c>
      <c r="B1887" t="s">
        <v>2567</v>
      </c>
      <c r="C1887" t="str">
        <f>"460103199604073624"</f>
        <v>460103199604073624</v>
      </c>
      <c r="D1887" t="str">
        <f>"248030502620"</f>
        <v>248030502620</v>
      </c>
      <c r="L1887">
        <v>2575</v>
      </c>
      <c r="M1887" t="s">
        <v>2567</v>
      </c>
      <c r="N1887" t="str">
        <f>"248030502620"</f>
        <v>248030502620</v>
      </c>
      <c r="O1887" t="str">
        <f>"460103199604073624"</f>
        <v>460103199604073624</v>
      </c>
    </row>
    <row r="1888" customFormat="1" spans="1:15">
      <c r="A1888">
        <v>2576</v>
      </c>
      <c r="B1888" t="s">
        <v>2568</v>
      </c>
      <c r="C1888" t="str">
        <f>"460003199803124222"</f>
        <v>460003199803124222</v>
      </c>
      <c r="L1888">
        <v>2576</v>
      </c>
      <c r="M1888" t="s">
        <v>2568</v>
      </c>
      <c r="O1888" t="str">
        <f>"460003199803124222"</f>
        <v>460003199803124222</v>
      </c>
    </row>
    <row r="1889" customFormat="1" spans="1:15">
      <c r="A1889">
        <v>2578</v>
      </c>
      <c r="B1889" t="s">
        <v>2569</v>
      </c>
      <c r="C1889" t="str">
        <f>"460105200212210923"</f>
        <v>460105200212210923</v>
      </c>
      <c r="D1889" t="str">
        <f>"248030501706"</f>
        <v>248030501706</v>
      </c>
      <c r="L1889">
        <v>2578</v>
      </c>
      <c r="M1889" t="s">
        <v>2569</v>
      </c>
      <c r="N1889" t="str">
        <f>"248030501706"</f>
        <v>248030501706</v>
      </c>
      <c r="O1889" t="str">
        <f>"460105200212210923"</f>
        <v>460105200212210923</v>
      </c>
    </row>
    <row r="1890" customFormat="1" spans="1:15">
      <c r="A1890">
        <v>2579</v>
      </c>
      <c r="B1890" t="s">
        <v>2570</v>
      </c>
      <c r="C1890" t="str">
        <f>"460002199807225817"</f>
        <v>460002199807225817</v>
      </c>
      <c r="D1890" t="str">
        <f>"248030203106"</f>
        <v>248030203106</v>
      </c>
      <c r="L1890">
        <v>2579</v>
      </c>
      <c r="M1890" t="s">
        <v>2570</v>
      </c>
      <c r="N1890" t="str">
        <f>"248030203106"</f>
        <v>248030203106</v>
      </c>
      <c r="O1890" t="str">
        <f>"460002199807225817"</f>
        <v>460002199807225817</v>
      </c>
    </row>
    <row r="1891" customFormat="1" spans="1:15">
      <c r="A1891">
        <v>2580</v>
      </c>
      <c r="B1891" t="s">
        <v>2571</v>
      </c>
      <c r="C1891" t="str">
        <f>"652801199606105020"</f>
        <v>652801199606105020</v>
      </c>
      <c r="L1891">
        <v>2580</v>
      </c>
      <c r="M1891" t="s">
        <v>2571</v>
      </c>
      <c r="O1891" t="str">
        <f>"652801199606105020"</f>
        <v>652801199606105020</v>
      </c>
    </row>
    <row r="1892" customFormat="1" spans="1:15">
      <c r="A1892">
        <v>2581</v>
      </c>
      <c r="B1892" t="s">
        <v>2572</v>
      </c>
      <c r="C1892" t="str">
        <f>"46010320020307092X"</f>
        <v>46010320020307092X</v>
      </c>
      <c r="D1892" t="str">
        <f>"248030503913"</f>
        <v>248030503913</v>
      </c>
      <c r="L1892">
        <v>2581</v>
      </c>
      <c r="M1892" t="s">
        <v>2572</v>
      </c>
      <c r="N1892" t="str">
        <f>"248030503913"</f>
        <v>248030503913</v>
      </c>
      <c r="O1892" t="str">
        <f>"46010320020307092X"</f>
        <v>46010320020307092X</v>
      </c>
    </row>
    <row r="1893" customFormat="1" spans="1:15">
      <c r="A1893">
        <v>2583</v>
      </c>
      <c r="B1893" t="s">
        <v>2573</v>
      </c>
      <c r="C1893" t="str">
        <f>"46010319970102092X"</f>
        <v>46010319970102092X</v>
      </c>
      <c r="D1893" t="str">
        <f>"248030501714"</f>
        <v>248030501714</v>
      </c>
      <c r="L1893">
        <v>2583</v>
      </c>
      <c r="M1893" t="s">
        <v>2573</v>
      </c>
      <c r="N1893" t="str">
        <f>"248030501714"</f>
        <v>248030501714</v>
      </c>
      <c r="O1893" t="str">
        <f>"46010319970102092X"</f>
        <v>46010319970102092X</v>
      </c>
    </row>
    <row r="1894" customFormat="1" spans="1:15">
      <c r="A1894">
        <v>2585</v>
      </c>
      <c r="B1894" t="s">
        <v>2574</v>
      </c>
      <c r="C1894" t="str">
        <f>"460102200009051227"</f>
        <v>460102200009051227</v>
      </c>
      <c r="D1894" t="str">
        <f>"248030200420"</f>
        <v>248030200420</v>
      </c>
      <c r="L1894">
        <v>2585</v>
      </c>
      <c r="M1894" t="s">
        <v>2574</v>
      </c>
      <c r="N1894" t="str">
        <f>"248030200420"</f>
        <v>248030200420</v>
      </c>
      <c r="O1894" t="str">
        <f>"460102200009051227"</f>
        <v>460102200009051227</v>
      </c>
    </row>
    <row r="1895" customFormat="1" spans="1:15">
      <c r="A1895">
        <v>2586</v>
      </c>
      <c r="B1895" t="s">
        <v>2575</v>
      </c>
      <c r="C1895" t="str">
        <f>"460004199605150848"</f>
        <v>460004199605150848</v>
      </c>
      <c r="D1895" t="str">
        <f>"248030100516"</f>
        <v>248030100516</v>
      </c>
      <c r="L1895">
        <v>2586</v>
      </c>
      <c r="M1895" t="s">
        <v>2575</v>
      </c>
      <c r="N1895" t="str">
        <f>"248030100516"</f>
        <v>248030100516</v>
      </c>
      <c r="O1895" t="str">
        <f>"460004199605150848"</f>
        <v>460004199605150848</v>
      </c>
    </row>
    <row r="1896" customFormat="1" spans="1:15">
      <c r="A1896">
        <v>2587</v>
      </c>
      <c r="B1896" t="s">
        <v>255</v>
      </c>
      <c r="C1896" t="str">
        <f>"460006199706060019"</f>
        <v>460006199706060019</v>
      </c>
      <c r="D1896" t="str">
        <f>"248030301907"</f>
        <v>248030301907</v>
      </c>
      <c r="L1896">
        <v>2587</v>
      </c>
      <c r="M1896" t="s">
        <v>255</v>
      </c>
      <c r="N1896" t="str">
        <f>"248030301907"</f>
        <v>248030301907</v>
      </c>
      <c r="O1896" t="str">
        <f>"460006199706060019"</f>
        <v>460006199706060019</v>
      </c>
    </row>
    <row r="1897" customFormat="1" spans="1:15">
      <c r="A1897">
        <v>2589</v>
      </c>
      <c r="B1897" t="s">
        <v>2576</v>
      </c>
      <c r="C1897" t="str">
        <f>"460031199407095613"</f>
        <v>460031199407095613</v>
      </c>
      <c r="D1897" t="str">
        <f>"248030402707"</f>
        <v>248030402707</v>
      </c>
      <c r="L1897">
        <v>2589</v>
      </c>
      <c r="M1897" t="s">
        <v>2576</v>
      </c>
      <c r="N1897" t="str">
        <f>"248030402707"</f>
        <v>248030402707</v>
      </c>
      <c r="O1897" t="str">
        <f>"460031199407095613"</f>
        <v>460031199407095613</v>
      </c>
    </row>
    <row r="1898" customFormat="1" spans="1:15">
      <c r="A1898">
        <v>2590</v>
      </c>
      <c r="B1898" t="s">
        <v>2577</v>
      </c>
      <c r="C1898" t="str">
        <f>"410225200011212924"</f>
        <v>410225200011212924</v>
      </c>
      <c r="D1898" t="str">
        <f>"248030401022"</f>
        <v>248030401022</v>
      </c>
      <c r="L1898">
        <v>2590</v>
      </c>
      <c r="M1898" t="s">
        <v>2577</v>
      </c>
      <c r="N1898" t="str">
        <f>"248030401022"</f>
        <v>248030401022</v>
      </c>
      <c r="O1898" t="str">
        <f>"410225200011212924"</f>
        <v>410225200011212924</v>
      </c>
    </row>
    <row r="1899" customFormat="1" spans="1:15">
      <c r="A1899">
        <v>2591</v>
      </c>
      <c r="B1899" t="s">
        <v>2578</v>
      </c>
      <c r="C1899" t="str">
        <f>"142325199405225521"</f>
        <v>142325199405225521</v>
      </c>
      <c r="D1899" t="str">
        <f>"248030203508"</f>
        <v>248030203508</v>
      </c>
      <c r="L1899">
        <v>2591</v>
      </c>
      <c r="M1899" t="s">
        <v>2578</v>
      </c>
      <c r="N1899" t="str">
        <f>"248030203508"</f>
        <v>248030203508</v>
      </c>
      <c r="O1899" t="str">
        <f>"142325199405225521"</f>
        <v>142325199405225521</v>
      </c>
    </row>
    <row r="1900" customFormat="1" spans="1:15">
      <c r="A1900">
        <v>2592</v>
      </c>
      <c r="B1900" t="s">
        <v>2579</v>
      </c>
      <c r="C1900" t="str">
        <f>"460005199402244824"</f>
        <v>460005199402244824</v>
      </c>
      <c r="D1900" t="str">
        <f>"248030502615"</f>
        <v>248030502615</v>
      </c>
      <c r="L1900">
        <v>2592</v>
      </c>
      <c r="M1900" t="s">
        <v>2579</v>
      </c>
      <c r="N1900" t="str">
        <f>"248030502615"</f>
        <v>248030502615</v>
      </c>
      <c r="O1900" t="str">
        <f>"460005199402244824"</f>
        <v>460005199402244824</v>
      </c>
    </row>
    <row r="1901" customFormat="1" spans="1:15">
      <c r="A1901">
        <v>2594</v>
      </c>
      <c r="B1901" t="s">
        <v>2580</v>
      </c>
      <c r="C1901" t="str">
        <f>"460007199207125806"</f>
        <v>460007199207125806</v>
      </c>
      <c r="D1901" t="str">
        <f>"248030501222"</f>
        <v>248030501222</v>
      </c>
      <c r="L1901">
        <v>2594</v>
      </c>
      <c r="M1901" t="s">
        <v>2580</v>
      </c>
      <c r="N1901" t="str">
        <f>"248030501222"</f>
        <v>248030501222</v>
      </c>
      <c r="O1901" t="str">
        <f>"460007199207125806"</f>
        <v>460007199207125806</v>
      </c>
    </row>
    <row r="1902" customFormat="1" spans="1:15">
      <c r="A1902">
        <v>2595</v>
      </c>
      <c r="B1902" t="s">
        <v>2581</v>
      </c>
      <c r="C1902" t="str">
        <f>"230803200208150828"</f>
        <v>230803200208150828</v>
      </c>
      <c r="D1902" t="str">
        <f>"248030102721"</f>
        <v>248030102721</v>
      </c>
      <c r="L1902">
        <v>2595</v>
      </c>
      <c r="M1902" t="s">
        <v>2581</v>
      </c>
      <c r="N1902" t="str">
        <f>"248030102721"</f>
        <v>248030102721</v>
      </c>
      <c r="O1902" t="str">
        <f>"230803200208150828"</f>
        <v>230803200208150828</v>
      </c>
    </row>
    <row r="1903" customFormat="1" spans="1:15">
      <c r="A1903">
        <v>2596</v>
      </c>
      <c r="B1903" t="s">
        <v>2582</v>
      </c>
      <c r="C1903" t="str">
        <f>"460033199812183580"</f>
        <v>460033199812183580</v>
      </c>
      <c r="D1903" t="str">
        <f>"248030402314"</f>
        <v>248030402314</v>
      </c>
      <c r="L1903">
        <v>2596</v>
      </c>
      <c r="M1903" t="s">
        <v>2582</v>
      </c>
      <c r="N1903" t="str">
        <f>"248030402314"</f>
        <v>248030402314</v>
      </c>
      <c r="O1903" t="str">
        <f>"460033199812183580"</f>
        <v>460033199812183580</v>
      </c>
    </row>
    <row r="1904" customFormat="1" spans="1:15">
      <c r="A1904">
        <v>2597</v>
      </c>
      <c r="B1904" t="s">
        <v>2583</v>
      </c>
      <c r="C1904" t="str">
        <f>"140225200211226540"</f>
        <v>140225200211226540</v>
      </c>
      <c r="D1904" t="str">
        <f>"248030101604"</f>
        <v>248030101604</v>
      </c>
      <c r="L1904">
        <v>2597</v>
      </c>
      <c r="M1904" t="s">
        <v>2583</v>
      </c>
      <c r="N1904" t="str">
        <f>"248030101604"</f>
        <v>248030101604</v>
      </c>
      <c r="O1904" t="str">
        <f>"140225200211226540"</f>
        <v>140225200211226540</v>
      </c>
    </row>
    <row r="1905" customFormat="1" spans="1:15">
      <c r="A1905">
        <v>2598</v>
      </c>
      <c r="B1905" t="s">
        <v>2584</v>
      </c>
      <c r="C1905" t="str">
        <f>"130683198407086029"</f>
        <v>130683198407086029</v>
      </c>
      <c r="D1905" t="str">
        <f>"248030301927"</f>
        <v>248030301927</v>
      </c>
      <c r="L1905">
        <v>2598</v>
      </c>
      <c r="M1905" t="s">
        <v>2584</v>
      </c>
      <c r="N1905" t="str">
        <f>"248030301927"</f>
        <v>248030301927</v>
      </c>
      <c r="O1905" t="str">
        <f>"130683198407086029"</f>
        <v>130683198407086029</v>
      </c>
    </row>
    <row r="1906" customFormat="1" spans="1:15">
      <c r="A1906">
        <v>2599</v>
      </c>
      <c r="B1906" t="s">
        <v>2585</v>
      </c>
      <c r="C1906" t="str">
        <f>"460026199808030027"</f>
        <v>460026199808030027</v>
      </c>
      <c r="D1906" t="str">
        <f>"248030401828"</f>
        <v>248030401828</v>
      </c>
      <c r="L1906">
        <v>2599</v>
      </c>
      <c r="M1906" t="s">
        <v>2585</v>
      </c>
      <c r="N1906" t="str">
        <f>"248030401828"</f>
        <v>248030401828</v>
      </c>
      <c r="O1906" t="str">
        <f>"460026199808030027"</f>
        <v>460026199808030027</v>
      </c>
    </row>
    <row r="1907" customFormat="1" spans="1:15">
      <c r="A1907">
        <v>2600</v>
      </c>
      <c r="B1907" t="s">
        <v>2586</v>
      </c>
      <c r="C1907" t="str">
        <f>"460004199208085827"</f>
        <v>460004199208085827</v>
      </c>
      <c r="D1907" t="str">
        <f>"248030203612"</f>
        <v>248030203612</v>
      </c>
      <c r="L1907">
        <v>2600</v>
      </c>
      <c r="M1907" t="s">
        <v>2586</v>
      </c>
      <c r="N1907" t="str">
        <f>"248030203612"</f>
        <v>248030203612</v>
      </c>
      <c r="O1907" t="str">
        <f>"460004199208085827"</f>
        <v>460004199208085827</v>
      </c>
    </row>
    <row r="1908" customFormat="1" spans="1:15">
      <c r="A1908">
        <v>2601</v>
      </c>
      <c r="B1908" t="s">
        <v>2587</v>
      </c>
      <c r="C1908" t="str">
        <f>"460006199804054448"</f>
        <v>460006199804054448</v>
      </c>
      <c r="L1908">
        <v>2601</v>
      </c>
      <c r="M1908" t="s">
        <v>2587</v>
      </c>
      <c r="O1908" t="str">
        <f>"460006199804054448"</f>
        <v>460006199804054448</v>
      </c>
    </row>
    <row r="1909" customFormat="1" spans="1:15">
      <c r="A1909">
        <v>2602</v>
      </c>
      <c r="B1909" t="s">
        <v>2588</v>
      </c>
      <c r="C1909" t="str">
        <f>"46902120020124002X"</f>
        <v>46902120020124002X</v>
      </c>
      <c r="D1909" t="str">
        <f>"248030503614"</f>
        <v>248030503614</v>
      </c>
      <c r="L1909">
        <v>2602</v>
      </c>
      <c r="M1909" t="s">
        <v>2588</v>
      </c>
      <c r="N1909" t="str">
        <f>"248030503614"</f>
        <v>248030503614</v>
      </c>
      <c r="O1909" t="str">
        <f>"46902120020124002X"</f>
        <v>46902120020124002X</v>
      </c>
    </row>
    <row r="1910" customFormat="1" spans="1:15">
      <c r="A1910">
        <v>2603</v>
      </c>
      <c r="B1910" t="s">
        <v>2589</v>
      </c>
      <c r="C1910" t="str">
        <f>"460102199304280625"</f>
        <v>460102199304280625</v>
      </c>
      <c r="L1910">
        <v>2603</v>
      </c>
      <c r="M1910" t="s">
        <v>2589</v>
      </c>
      <c r="O1910" t="str">
        <f>"460102199304280625"</f>
        <v>460102199304280625</v>
      </c>
    </row>
    <row r="1911" customFormat="1" spans="1:15">
      <c r="A1911">
        <v>2604</v>
      </c>
      <c r="B1911" t="s">
        <v>2590</v>
      </c>
      <c r="C1911" t="str">
        <f>"460004200009280844"</f>
        <v>460004200009280844</v>
      </c>
      <c r="L1911">
        <v>2604</v>
      </c>
      <c r="M1911" t="s">
        <v>2590</v>
      </c>
      <c r="O1911" t="str">
        <f>"460004200009280844"</f>
        <v>460004200009280844</v>
      </c>
    </row>
    <row r="1912" customFormat="1" spans="1:15">
      <c r="A1912">
        <v>2607</v>
      </c>
      <c r="B1912" t="s">
        <v>2591</v>
      </c>
      <c r="C1912" t="str">
        <f>"460025199301080627"</f>
        <v>460025199301080627</v>
      </c>
      <c r="D1912" t="str">
        <f>"248030200915"</f>
        <v>248030200915</v>
      </c>
      <c r="L1912">
        <v>2607</v>
      </c>
      <c r="M1912" t="s">
        <v>2591</v>
      </c>
      <c r="N1912" t="str">
        <f>"248030200915"</f>
        <v>248030200915</v>
      </c>
      <c r="O1912" t="str">
        <f>"460025199301080627"</f>
        <v>460025199301080627</v>
      </c>
    </row>
    <row r="1913" customFormat="1" spans="1:15">
      <c r="A1913">
        <v>2608</v>
      </c>
      <c r="B1913" t="s">
        <v>2592</v>
      </c>
      <c r="C1913" t="str">
        <f>"46902419981102722X"</f>
        <v>46902419981102722X</v>
      </c>
      <c r="D1913" t="str">
        <f>"248030200203"</f>
        <v>248030200203</v>
      </c>
      <c r="L1913">
        <v>2608</v>
      </c>
      <c r="M1913" t="s">
        <v>2592</v>
      </c>
      <c r="N1913" t="str">
        <f>"248030200203"</f>
        <v>248030200203</v>
      </c>
      <c r="O1913" t="str">
        <f>"46902419981102722X"</f>
        <v>46902419981102722X</v>
      </c>
    </row>
    <row r="1914" customFormat="1" spans="1:15">
      <c r="A1914">
        <v>2609</v>
      </c>
      <c r="B1914" t="s">
        <v>2593</v>
      </c>
      <c r="C1914" t="str">
        <f>"460026200101300957"</f>
        <v>460026200101300957</v>
      </c>
      <c r="L1914">
        <v>2609</v>
      </c>
      <c r="M1914" t="s">
        <v>2593</v>
      </c>
      <c r="O1914" t="str">
        <f>"460026200101300957"</f>
        <v>460026200101300957</v>
      </c>
    </row>
    <row r="1915" customFormat="1" spans="1:15">
      <c r="A1915">
        <v>2610</v>
      </c>
      <c r="B1915" t="s">
        <v>2594</v>
      </c>
      <c r="C1915" t="str">
        <f>"460034199704140010"</f>
        <v>460034199704140010</v>
      </c>
      <c r="D1915" t="str">
        <f>"248030104617"</f>
        <v>248030104617</v>
      </c>
      <c r="L1915">
        <v>2610</v>
      </c>
      <c r="M1915" t="s">
        <v>2594</v>
      </c>
      <c r="N1915" t="str">
        <f>"248030104617"</f>
        <v>248030104617</v>
      </c>
      <c r="O1915" t="str">
        <f>"460034199704140010"</f>
        <v>460034199704140010</v>
      </c>
    </row>
    <row r="1916" customFormat="1" spans="1:15">
      <c r="A1916">
        <v>2611</v>
      </c>
      <c r="B1916" t="s">
        <v>2595</v>
      </c>
      <c r="C1916" t="str">
        <f>"46010319890301032X"</f>
        <v>46010319890301032X</v>
      </c>
      <c r="D1916" t="str">
        <f>"248030102802"</f>
        <v>248030102802</v>
      </c>
      <c r="L1916">
        <v>2611</v>
      </c>
      <c r="M1916" t="s">
        <v>2595</v>
      </c>
      <c r="N1916" t="str">
        <f>"248030102802"</f>
        <v>248030102802</v>
      </c>
      <c r="O1916" t="str">
        <f>"46010319890301032X"</f>
        <v>46010319890301032X</v>
      </c>
    </row>
    <row r="1917" customFormat="1" spans="1:15">
      <c r="A1917">
        <v>2612</v>
      </c>
      <c r="B1917" t="s">
        <v>2596</v>
      </c>
      <c r="C1917" t="str">
        <f>"36233019981111268X"</f>
        <v>36233019981111268X</v>
      </c>
      <c r="D1917" t="str">
        <f>"248030403615"</f>
        <v>248030403615</v>
      </c>
      <c r="L1917">
        <v>2612</v>
      </c>
      <c r="M1917" t="s">
        <v>2596</v>
      </c>
      <c r="N1917" t="str">
        <f>"248030403615"</f>
        <v>248030403615</v>
      </c>
      <c r="O1917" t="str">
        <f>"36233019981111268X"</f>
        <v>36233019981111268X</v>
      </c>
    </row>
    <row r="1918" customFormat="1" spans="1:15">
      <c r="A1918">
        <v>2613</v>
      </c>
      <c r="B1918" t="s">
        <v>2597</v>
      </c>
      <c r="C1918" t="str">
        <f>"460006199705235227"</f>
        <v>460006199705235227</v>
      </c>
      <c r="D1918" t="str">
        <f>"248030201003"</f>
        <v>248030201003</v>
      </c>
      <c r="L1918">
        <v>2613</v>
      </c>
      <c r="M1918" t="s">
        <v>2597</v>
      </c>
      <c r="N1918" t="str">
        <f>"248030201003"</f>
        <v>248030201003</v>
      </c>
      <c r="O1918" t="str">
        <f>"460006199705235227"</f>
        <v>460006199705235227</v>
      </c>
    </row>
    <row r="1919" customFormat="1" spans="1:15">
      <c r="A1919">
        <v>2615</v>
      </c>
      <c r="B1919" t="s">
        <v>2598</v>
      </c>
      <c r="C1919" t="str">
        <f>"460028199601030022"</f>
        <v>460028199601030022</v>
      </c>
      <c r="D1919" t="str">
        <f>"248030502215"</f>
        <v>248030502215</v>
      </c>
      <c r="L1919">
        <v>2615</v>
      </c>
      <c r="M1919" t="s">
        <v>2598</v>
      </c>
      <c r="N1919" t="str">
        <f>"248030502215"</f>
        <v>248030502215</v>
      </c>
      <c r="O1919" t="str">
        <f>"460028199601030022"</f>
        <v>460028199601030022</v>
      </c>
    </row>
    <row r="1920" customFormat="1" spans="1:15">
      <c r="A1920">
        <v>2616</v>
      </c>
      <c r="B1920" t="s">
        <v>187</v>
      </c>
      <c r="C1920" t="str">
        <f>"460027200110084121"</f>
        <v>460027200110084121</v>
      </c>
      <c r="D1920" t="str">
        <f>"248030102905"</f>
        <v>248030102905</v>
      </c>
      <c r="L1920">
        <v>2616</v>
      </c>
      <c r="M1920" t="s">
        <v>187</v>
      </c>
      <c r="N1920" t="str">
        <f>"248030102905"</f>
        <v>248030102905</v>
      </c>
      <c r="O1920" t="str">
        <f>"460027200110084121"</f>
        <v>460027200110084121</v>
      </c>
    </row>
    <row r="1921" customFormat="1" spans="1:15">
      <c r="A1921">
        <v>2617</v>
      </c>
      <c r="B1921" t="s">
        <v>2599</v>
      </c>
      <c r="C1921" t="str">
        <f>"46002820000313322X"</f>
        <v>46002820000313322X</v>
      </c>
      <c r="D1921" t="str">
        <f>"248030501728"</f>
        <v>248030501728</v>
      </c>
      <c r="L1921">
        <v>2617</v>
      </c>
      <c r="M1921" t="s">
        <v>2599</v>
      </c>
      <c r="N1921" t="str">
        <f>"248030501728"</f>
        <v>248030501728</v>
      </c>
      <c r="O1921" t="str">
        <f>"46002820000313322X"</f>
        <v>46002820000313322X</v>
      </c>
    </row>
    <row r="1922" customFormat="1" spans="1:15">
      <c r="A1922">
        <v>2619</v>
      </c>
      <c r="B1922" t="s">
        <v>2600</v>
      </c>
      <c r="C1922" t="str">
        <f>"220621198508290021"</f>
        <v>220621198508290021</v>
      </c>
      <c r="L1922">
        <v>2619</v>
      </c>
      <c r="M1922" t="s">
        <v>2600</v>
      </c>
      <c r="O1922" t="str">
        <f>"220621198508290021"</f>
        <v>220621198508290021</v>
      </c>
    </row>
    <row r="1923" customFormat="1" spans="1:15">
      <c r="A1923">
        <v>2620</v>
      </c>
      <c r="B1923" t="s">
        <v>2601</v>
      </c>
      <c r="C1923" t="str">
        <f>"622701199705294567"</f>
        <v>622701199705294567</v>
      </c>
      <c r="L1923">
        <v>2620</v>
      </c>
      <c r="M1923" t="s">
        <v>2601</v>
      </c>
      <c r="O1923" t="str">
        <f>"622701199705294567"</f>
        <v>622701199705294567</v>
      </c>
    </row>
    <row r="1924" customFormat="1" spans="1:15">
      <c r="A1924">
        <v>2621</v>
      </c>
      <c r="B1924" t="s">
        <v>2602</v>
      </c>
      <c r="C1924" t="str">
        <f>"513822199808290107"</f>
        <v>513822199808290107</v>
      </c>
      <c r="D1924" t="str">
        <f>"248030402906"</f>
        <v>248030402906</v>
      </c>
      <c r="L1924">
        <v>2621</v>
      </c>
      <c r="M1924" t="s">
        <v>2602</v>
      </c>
      <c r="N1924" t="str">
        <f>"248030402906"</f>
        <v>248030402906</v>
      </c>
      <c r="O1924" t="str">
        <f>"513822199808290107"</f>
        <v>513822199808290107</v>
      </c>
    </row>
    <row r="1925" customFormat="1" spans="1:15">
      <c r="A1925">
        <v>2625</v>
      </c>
      <c r="B1925" t="s">
        <v>2603</v>
      </c>
      <c r="C1925" t="str">
        <f>"460003199306174181"</f>
        <v>460003199306174181</v>
      </c>
      <c r="D1925" t="str">
        <f>"248030300618"</f>
        <v>248030300618</v>
      </c>
      <c r="L1925">
        <v>2625</v>
      </c>
      <c r="M1925" t="s">
        <v>2603</v>
      </c>
      <c r="N1925" t="str">
        <f>"248030300618"</f>
        <v>248030300618</v>
      </c>
      <c r="O1925" t="str">
        <f>"460003199306174181"</f>
        <v>460003199306174181</v>
      </c>
    </row>
    <row r="1926" customFormat="1" spans="1:15">
      <c r="A1926">
        <v>2626</v>
      </c>
      <c r="B1926" t="s">
        <v>2604</v>
      </c>
      <c r="C1926" t="str">
        <f>"52010320000530084X"</f>
        <v>52010320000530084X</v>
      </c>
      <c r="L1926">
        <v>2626</v>
      </c>
      <c r="M1926" t="s">
        <v>2604</v>
      </c>
      <c r="O1926" t="str">
        <f>"52010320000530084X"</f>
        <v>52010320000530084X</v>
      </c>
    </row>
    <row r="1927" customFormat="1" spans="1:15">
      <c r="A1927">
        <v>2627</v>
      </c>
      <c r="B1927" t="s">
        <v>2605</v>
      </c>
      <c r="C1927" t="str">
        <f>"460028199805142421"</f>
        <v>460028199805142421</v>
      </c>
      <c r="D1927" t="str">
        <f>"248030301117"</f>
        <v>248030301117</v>
      </c>
      <c r="L1927">
        <v>2627</v>
      </c>
      <c r="M1927" t="s">
        <v>2605</v>
      </c>
      <c r="N1927" t="str">
        <f>"248030301117"</f>
        <v>248030301117</v>
      </c>
      <c r="O1927" t="str">
        <f>"460028199805142421"</f>
        <v>460028199805142421</v>
      </c>
    </row>
    <row r="1928" customFormat="1" spans="1:15">
      <c r="A1928">
        <v>2629</v>
      </c>
      <c r="B1928" t="s">
        <v>2606</v>
      </c>
      <c r="C1928" t="str">
        <f>"46003119920314644X"</f>
        <v>46003119920314644X</v>
      </c>
      <c r="D1928" t="str">
        <f>"248030503923"</f>
        <v>248030503923</v>
      </c>
      <c r="L1928">
        <v>2629</v>
      </c>
      <c r="M1928" t="s">
        <v>2606</v>
      </c>
      <c r="N1928" t="str">
        <f>"248030503923"</f>
        <v>248030503923</v>
      </c>
      <c r="O1928" t="str">
        <f>"46003119920314644X"</f>
        <v>46003119920314644X</v>
      </c>
    </row>
    <row r="1929" customFormat="1" spans="1:15">
      <c r="A1929">
        <v>2630</v>
      </c>
      <c r="B1929" t="s">
        <v>2607</v>
      </c>
      <c r="C1929" t="str">
        <f>"460003199412046642"</f>
        <v>460003199412046642</v>
      </c>
      <c r="D1929" t="str">
        <f>"248030200728"</f>
        <v>248030200728</v>
      </c>
      <c r="L1929">
        <v>2630</v>
      </c>
      <c r="M1929" t="s">
        <v>2607</v>
      </c>
      <c r="N1929" t="str">
        <f>"248030200728"</f>
        <v>248030200728</v>
      </c>
      <c r="O1929" t="str">
        <f>"460003199412046642"</f>
        <v>460003199412046642</v>
      </c>
    </row>
    <row r="1930" customFormat="1" spans="1:15">
      <c r="A1930">
        <v>2631</v>
      </c>
      <c r="B1930" t="s">
        <v>2608</v>
      </c>
      <c r="C1930" t="str">
        <f>"460006200211082721"</f>
        <v>460006200211082721</v>
      </c>
      <c r="D1930" t="str">
        <f>"248030102217"</f>
        <v>248030102217</v>
      </c>
      <c r="L1930">
        <v>2631</v>
      </c>
      <c r="M1930" t="s">
        <v>2608</v>
      </c>
      <c r="N1930" t="str">
        <f>"248030102217"</f>
        <v>248030102217</v>
      </c>
      <c r="O1930" t="str">
        <f>"460006200211082721"</f>
        <v>460006200211082721</v>
      </c>
    </row>
    <row r="1931" customFormat="1" spans="1:15">
      <c r="A1931">
        <v>2632</v>
      </c>
      <c r="B1931" t="s">
        <v>1298</v>
      </c>
      <c r="C1931" t="str">
        <f>"460028199209100049"</f>
        <v>460028199209100049</v>
      </c>
      <c r="D1931" t="str">
        <f>"248030102722"</f>
        <v>248030102722</v>
      </c>
      <c r="L1931">
        <v>2632</v>
      </c>
      <c r="M1931" t="s">
        <v>1298</v>
      </c>
      <c r="N1931" t="str">
        <f>"248030102722"</f>
        <v>248030102722</v>
      </c>
      <c r="O1931" t="str">
        <f>"460028199209100049"</f>
        <v>460028199209100049</v>
      </c>
    </row>
    <row r="1932" customFormat="1" spans="1:15">
      <c r="A1932">
        <v>2634</v>
      </c>
      <c r="B1932" t="s">
        <v>2609</v>
      </c>
      <c r="C1932" t="str">
        <f>"460006199903035242"</f>
        <v>460006199903035242</v>
      </c>
      <c r="L1932">
        <v>2634</v>
      </c>
      <c r="M1932" t="s">
        <v>2609</v>
      </c>
      <c r="O1932" t="str">
        <f>"460006199903035242"</f>
        <v>460006199903035242</v>
      </c>
    </row>
    <row r="1933" customFormat="1" spans="1:15">
      <c r="A1933">
        <v>2635</v>
      </c>
      <c r="B1933" t="s">
        <v>2610</v>
      </c>
      <c r="C1933" t="str">
        <f>"460003199505020222"</f>
        <v>460003199505020222</v>
      </c>
      <c r="D1933" t="str">
        <f>"248030202924"</f>
        <v>248030202924</v>
      </c>
      <c r="L1933">
        <v>2635</v>
      </c>
      <c r="M1933" t="s">
        <v>2610</v>
      </c>
      <c r="N1933" t="str">
        <f>"248030202924"</f>
        <v>248030202924</v>
      </c>
      <c r="O1933" t="str">
        <f>"460003199505020222"</f>
        <v>460003199505020222</v>
      </c>
    </row>
    <row r="1934" customFormat="1" spans="1:15">
      <c r="A1934">
        <v>2636</v>
      </c>
      <c r="B1934" t="s">
        <v>2611</v>
      </c>
      <c r="C1934" t="str">
        <f>"460028198903313226"</f>
        <v>460028198903313226</v>
      </c>
      <c r="D1934" t="str">
        <f>"248030501515"</f>
        <v>248030501515</v>
      </c>
      <c r="L1934">
        <v>2636</v>
      </c>
      <c r="M1934" t="s">
        <v>2611</v>
      </c>
      <c r="N1934" t="str">
        <f>"248030501515"</f>
        <v>248030501515</v>
      </c>
      <c r="O1934" t="str">
        <f>"460028198903313226"</f>
        <v>460028198903313226</v>
      </c>
    </row>
    <row r="1935" customFormat="1" spans="1:15">
      <c r="A1935">
        <v>2638</v>
      </c>
      <c r="B1935" t="s">
        <v>2612</v>
      </c>
      <c r="C1935" t="str">
        <f>"460002199706104629"</f>
        <v>460002199706104629</v>
      </c>
      <c r="D1935" t="str">
        <f>"248030403711"</f>
        <v>248030403711</v>
      </c>
      <c r="L1935">
        <v>2638</v>
      </c>
      <c r="M1935" t="s">
        <v>2612</v>
      </c>
      <c r="N1935" t="str">
        <f>"248030403711"</f>
        <v>248030403711</v>
      </c>
      <c r="O1935" t="str">
        <f>"460002199706104629"</f>
        <v>460002199706104629</v>
      </c>
    </row>
    <row r="1936" customFormat="1" spans="1:15">
      <c r="A1936">
        <v>2639</v>
      </c>
      <c r="B1936" t="s">
        <v>2613</v>
      </c>
      <c r="C1936" t="str">
        <f>"460028200009147227"</f>
        <v>460028200009147227</v>
      </c>
      <c r="D1936" t="str">
        <f>"248030203202"</f>
        <v>248030203202</v>
      </c>
      <c r="L1936">
        <v>2639</v>
      </c>
      <c r="M1936" t="s">
        <v>2613</v>
      </c>
      <c r="N1936" t="str">
        <f>"248030203202"</f>
        <v>248030203202</v>
      </c>
      <c r="O1936" t="str">
        <f>"460028200009147227"</f>
        <v>460028200009147227</v>
      </c>
    </row>
    <row r="1937" customFormat="1" spans="1:15">
      <c r="A1937">
        <v>2640</v>
      </c>
      <c r="B1937" t="s">
        <v>187</v>
      </c>
      <c r="C1937" t="str">
        <f>"460102199703053323"</f>
        <v>460102199703053323</v>
      </c>
      <c r="D1937" t="str">
        <f>"248030102809"</f>
        <v>248030102809</v>
      </c>
      <c r="L1937">
        <v>2640</v>
      </c>
      <c r="M1937" t="s">
        <v>187</v>
      </c>
      <c r="N1937" t="str">
        <f>"248030102809"</f>
        <v>248030102809</v>
      </c>
      <c r="O1937" t="str">
        <f>"460102199703053323"</f>
        <v>460102199703053323</v>
      </c>
    </row>
    <row r="1938" customFormat="1" spans="1:15">
      <c r="A1938">
        <v>2641</v>
      </c>
      <c r="B1938" t="s">
        <v>2614</v>
      </c>
      <c r="C1938" t="str">
        <f>"460028200105054020"</f>
        <v>460028200105054020</v>
      </c>
      <c r="L1938">
        <v>2641</v>
      </c>
      <c r="M1938" t="s">
        <v>2614</v>
      </c>
      <c r="O1938" t="str">
        <f>"460028200105054020"</f>
        <v>460028200105054020</v>
      </c>
    </row>
    <row r="1939" customFormat="1" spans="1:15">
      <c r="A1939">
        <v>2642</v>
      </c>
      <c r="B1939" t="s">
        <v>2615</v>
      </c>
      <c r="C1939" t="str">
        <f>"460027198905225936"</f>
        <v>460027198905225936</v>
      </c>
      <c r="D1939" t="str">
        <f>"248030400330"</f>
        <v>248030400330</v>
      </c>
      <c r="L1939">
        <v>2642</v>
      </c>
      <c r="M1939" t="s">
        <v>2615</v>
      </c>
      <c r="N1939" t="str">
        <f>"248030400330"</f>
        <v>248030400330</v>
      </c>
      <c r="O1939" t="str">
        <f>"460027198905225936"</f>
        <v>460027198905225936</v>
      </c>
    </row>
    <row r="1940" customFormat="1" spans="1:15">
      <c r="A1940">
        <v>2643</v>
      </c>
      <c r="B1940" t="s">
        <v>2616</v>
      </c>
      <c r="C1940" t="str">
        <f>"469003199807077011"</f>
        <v>469003199807077011</v>
      </c>
      <c r="L1940">
        <v>2643</v>
      </c>
      <c r="M1940" t="s">
        <v>2616</v>
      </c>
      <c r="O1940" t="str">
        <f>"469003199807077011"</f>
        <v>469003199807077011</v>
      </c>
    </row>
    <row r="1941" customFormat="1" spans="1:15">
      <c r="A1941">
        <v>2644</v>
      </c>
      <c r="B1941" t="s">
        <v>2617</v>
      </c>
      <c r="C1941" t="str">
        <f>"511623199810175064"</f>
        <v>511623199810175064</v>
      </c>
      <c r="D1941" t="str">
        <f>"248030101915"</f>
        <v>248030101915</v>
      </c>
      <c r="L1941">
        <v>2644</v>
      </c>
      <c r="M1941" t="s">
        <v>2617</v>
      </c>
      <c r="N1941" t="str">
        <f>"248030101915"</f>
        <v>248030101915</v>
      </c>
      <c r="O1941" t="str">
        <f>"511623199810175064"</f>
        <v>511623199810175064</v>
      </c>
    </row>
    <row r="1942" customFormat="1" spans="1:15">
      <c r="A1942">
        <v>2645</v>
      </c>
      <c r="B1942" t="s">
        <v>2618</v>
      </c>
      <c r="C1942" t="str">
        <f>"460006200011048115"</f>
        <v>460006200011048115</v>
      </c>
      <c r="D1942" t="str">
        <f>"248030402203"</f>
        <v>248030402203</v>
      </c>
      <c r="L1942">
        <v>2645</v>
      </c>
      <c r="M1942" t="s">
        <v>2618</v>
      </c>
      <c r="N1942" t="str">
        <f>"248030402203"</f>
        <v>248030402203</v>
      </c>
      <c r="O1942" t="str">
        <f>"460006200011048115"</f>
        <v>460006200011048115</v>
      </c>
    </row>
    <row r="1943" customFormat="1" spans="1:15">
      <c r="A1943">
        <v>2646</v>
      </c>
      <c r="B1943" t="s">
        <v>2619</v>
      </c>
      <c r="C1943" t="str">
        <f>"469007199911124987"</f>
        <v>469007199911124987</v>
      </c>
      <c r="D1943" t="str">
        <f>"248030302322"</f>
        <v>248030302322</v>
      </c>
      <c r="L1943">
        <v>2646</v>
      </c>
      <c r="M1943" t="s">
        <v>2619</v>
      </c>
      <c r="N1943" t="str">
        <f>"248030302322"</f>
        <v>248030302322</v>
      </c>
      <c r="O1943" t="str">
        <f>"469007199911124987"</f>
        <v>469007199911124987</v>
      </c>
    </row>
    <row r="1944" customFormat="1" spans="1:15">
      <c r="A1944">
        <v>2648</v>
      </c>
      <c r="B1944" t="s">
        <v>2620</v>
      </c>
      <c r="C1944" t="str">
        <f>"230281199110202424"</f>
        <v>230281199110202424</v>
      </c>
      <c r="D1944" t="str">
        <f>"248030104515"</f>
        <v>248030104515</v>
      </c>
      <c r="L1944">
        <v>2648</v>
      </c>
      <c r="M1944" t="s">
        <v>2620</v>
      </c>
      <c r="N1944" t="str">
        <f>"248030104515"</f>
        <v>248030104515</v>
      </c>
      <c r="O1944" t="str">
        <f>"230281199110202424"</f>
        <v>230281199110202424</v>
      </c>
    </row>
    <row r="1945" customFormat="1" spans="1:15">
      <c r="A1945">
        <v>2649</v>
      </c>
      <c r="B1945" t="s">
        <v>2621</v>
      </c>
      <c r="C1945" t="str">
        <f>"350823200102121036"</f>
        <v>350823200102121036</v>
      </c>
      <c r="D1945" t="str">
        <f>"248030201304"</f>
        <v>248030201304</v>
      </c>
      <c r="L1945">
        <v>2649</v>
      </c>
      <c r="M1945" t="s">
        <v>2621</v>
      </c>
      <c r="N1945" t="str">
        <f>"248030201304"</f>
        <v>248030201304</v>
      </c>
      <c r="O1945" t="str">
        <f>"350823200102121036"</f>
        <v>350823200102121036</v>
      </c>
    </row>
    <row r="1946" customFormat="1" spans="1:15">
      <c r="A1946">
        <v>2651</v>
      </c>
      <c r="B1946" t="s">
        <v>2622</v>
      </c>
      <c r="C1946" t="str">
        <f>"652301199902136043"</f>
        <v>652301199902136043</v>
      </c>
      <c r="D1946" t="str">
        <f>"248030102019"</f>
        <v>248030102019</v>
      </c>
      <c r="L1946">
        <v>2651</v>
      </c>
      <c r="M1946" t="s">
        <v>2622</v>
      </c>
      <c r="N1946" t="str">
        <f>"248030102019"</f>
        <v>248030102019</v>
      </c>
      <c r="O1946" t="str">
        <f>"652301199902136043"</f>
        <v>652301199902136043</v>
      </c>
    </row>
    <row r="1947" customFormat="1" spans="1:15">
      <c r="A1947">
        <v>2652</v>
      </c>
      <c r="B1947" t="s">
        <v>2623</v>
      </c>
      <c r="C1947" t="str">
        <f>"41152219931102002X"</f>
        <v>41152219931102002X</v>
      </c>
      <c r="D1947" t="str">
        <f>"248030500503"</f>
        <v>248030500503</v>
      </c>
      <c r="L1947">
        <v>2652</v>
      </c>
      <c r="M1947" t="s">
        <v>2623</v>
      </c>
      <c r="N1947" t="str">
        <f>"248030500503"</f>
        <v>248030500503</v>
      </c>
      <c r="O1947" t="str">
        <f>"41152219931102002X"</f>
        <v>41152219931102002X</v>
      </c>
    </row>
    <row r="1948" customFormat="1" spans="1:15">
      <c r="A1948">
        <v>2653</v>
      </c>
      <c r="B1948" t="s">
        <v>2624</v>
      </c>
      <c r="C1948" t="str">
        <f>"430124199807010048"</f>
        <v>430124199807010048</v>
      </c>
      <c r="D1948" t="str">
        <f>"248030203128"</f>
        <v>248030203128</v>
      </c>
      <c r="L1948">
        <v>2653</v>
      </c>
      <c r="M1948" t="s">
        <v>2624</v>
      </c>
      <c r="N1948" t="str">
        <f>"248030203128"</f>
        <v>248030203128</v>
      </c>
      <c r="O1948" t="str">
        <f>"430124199807010048"</f>
        <v>430124199807010048</v>
      </c>
    </row>
    <row r="1949" customFormat="1" spans="1:15">
      <c r="A1949">
        <v>2654</v>
      </c>
      <c r="B1949" t="s">
        <v>2625</v>
      </c>
      <c r="C1949" t="str">
        <f>"469023200207208525"</f>
        <v>469023200207208525</v>
      </c>
      <c r="D1949" t="str">
        <f>"248030401916"</f>
        <v>248030401916</v>
      </c>
      <c r="L1949">
        <v>2654</v>
      </c>
      <c r="M1949" t="s">
        <v>2625</v>
      </c>
      <c r="N1949" t="str">
        <f>"248030401916"</f>
        <v>248030401916</v>
      </c>
      <c r="O1949" t="str">
        <f>"469023200207208525"</f>
        <v>469023200207208525</v>
      </c>
    </row>
    <row r="1950" customFormat="1" spans="1:15">
      <c r="A1950">
        <v>2655</v>
      </c>
      <c r="B1950" t="s">
        <v>71</v>
      </c>
      <c r="C1950" t="str">
        <f>"460006199505184613"</f>
        <v>460006199505184613</v>
      </c>
      <c r="D1950" t="str">
        <f>"248030201823"</f>
        <v>248030201823</v>
      </c>
      <c r="L1950">
        <v>2655</v>
      </c>
      <c r="M1950" t="s">
        <v>71</v>
      </c>
      <c r="N1950" t="str">
        <f>"248030201823"</f>
        <v>248030201823</v>
      </c>
      <c r="O1950" t="str">
        <f>"460006199505184613"</f>
        <v>460006199505184613</v>
      </c>
    </row>
    <row r="1951" customFormat="1" spans="1:15">
      <c r="A1951">
        <v>2656</v>
      </c>
      <c r="B1951" t="s">
        <v>2626</v>
      </c>
      <c r="C1951" t="str">
        <f>"142601200006231335"</f>
        <v>142601200006231335</v>
      </c>
      <c r="D1951" t="str">
        <f>"248030202128"</f>
        <v>248030202128</v>
      </c>
      <c r="L1951">
        <v>2656</v>
      </c>
      <c r="M1951" t="s">
        <v>2626</v>
      </c>
      <c r="N1951" t="str">
        <f>"248030202128"</f>
        <v>248030202128</v>
      </c>
      <c r="O1951" t="str">
        <f>"142601200006231335"</f>
        <v>142601200006231335</v>
      </c>
    </row>
    <row r="1952" customFormat="1" spans="1:15">
      <c r="A1952">
        <v>2657</v>
      </c>
      <c r="B1952" t="s">
        <v>2627</v>
      </c>
      <c r="C1952" t="str">
        <f>"362202199812121544"</f>
        <v>362202199812121544</v>
      </c>
      <c r="D1952" t="str">
        <f>"248030202821"</f>
        <v>248030202821</v>
      </c>
      <c r="L1952">
        <v>2657</v>
      </c>
      <c r="M1952" t="s">
        <v>2627</v>
      </c>
      <c r="N1952" t="str">
        <f>"248030202821"</f>
        <v>248030202821</v>
      </c>
      <c r="O1952" t="str">
        <f>"362202199812121544"</f>
        <v>362202199812121544</v>
      </c>
    </row>
    <row r="1953" customFormat="1" spans="1:15">
      <c r="A1953">
        <v>2659</v>
      </c>
      <c r="B1953" t="s">
        <v>2628</v>
      </c>
      <c r="C1953" t="str">
        <f>"46000419980714602X"</f>
        <v>46000419980714602X</v>
      </c>
      <c r="D1953" t="str">
        <f>"248030502814"</f>
        <v>248030502814</v>
      </c>
      <c r="L1953">
        <v>2659</v>
      </c>
      <c r="M1953" t="s">
        <v>2628</v>
      </c>
      <c r="N1953" t="str">
        <f>"248030502814"</f>
        <v>248030502814</v>
      </c>
      <c r="O1953" t="str">
        <f>"46000419980714602X"</f>
        <v>46000419980714602X</v>
      </c>
    </row>
    <row r="1954" customFormat="1" spans="1:15">
      <c r="A1954">
        <v>2661</v>
      </c>
      <c r="B1954" t="s">
        <v>2629</v>
      </c>
      <c r="C1954" t="str">
        <f>"460200200201180021"</f>
        <v>460200200201180021</v>
      </c>
      <c r="D1954" t="str">
        <f>"248030403913"</f>
        <v>248030403913</v>
      </c>
      <c r="L1954">
        <v>2661</v>
      </c>
      <c r="M1954" t="s">
        <v>2629</v>
      </c>
      <c r="N1954" t="str">
        <f>"248030403913"</f>
        <v>248030403913</v>
      </c>
      <c r="O1954" t="str">
        <f>"460200200201180021"</f>
        <v>460200200201180021</v>
      </c>
    </row>
    <row r="1955" customFormat="1" spans="1:15">
      <c r="A1955">
        <v>2662</v>
      </c>
      <c r="B1955" t="s">
        <v>2630</v>
      </c>
      <c r="C1955" t="str">
        <f>"410603198801080544"</f>
        <v>410603198801080544</v>
      </c>
      <c r="D1955" t="str">
        <f>"248030201821"</f>
        <v>248030201821</v>
      </c>
      <c r="L1955">
        <v>2662</v>
      </c>
      <c r="M1955" t="s">
        <v>2630</v>
      </c>
      <c r="N1955" t="str">
        <f>"248030201821"</f>
        <v>248030201821</v>
      </c>
      <c r="O1955" t="str">
        <f>"410603198801080544"</f>
        <v>410603198801080544</v>
      </c>
    </row>
    <row r="1956" customFormat="1" spans="1:15">
      <c r="A1956">
        <v>2663</v>
      </c>
      <c r="B1956" t="s">
        <v>2631</v>
      </c>
      <c r="C1956" t="str">
        <f>"51152119990727305X"</f>
        <v>51152119990727305X</v>
      </c>
      <c r="D1956" t="str">
        <f>"248030200921"</f>
        <v>248030200921</v>
      </c>
      <c r="L1956">
        <v>2663</v>
      </c>
      <c r="M1956" t="s">
        <v>2631</v>
      </c>
      <c r="N1956" t="str">
        <f>"248030200921"</f>
        <v>248030200921</v>
      </c>
      <c r="O1956" t="str">
        <f>"51152119990727305X"</f>
        <v>51152119990727305X</v>
      </c>
    </row>
    <row r="1957" customFormat="1" spans="1:15">
      <c r="A1957">
        <v>2664</v>
      </c>
      <c r="B1957" t="s">
        <v>2632</v>
      </c>
      <c r="C1957" t="str">
        <f>"460004199511014829"</f>
        <v>460004199511014829</v>
      </c>
      <c r="D1957" t="str">
        <f>"248030401808"</f>
        <v>248030401808</v>
      </c>
      <c r="L1957">
        <v>2664</v>
      </c>
      <c r="M1957" t="s">
        <v>2632</v>
      </c>
      <c r="N1957" t="str">
        <f>"248030401808"</f>
        <v>248030401808</v>
      </c>
      <c r="O1957" t="str">
        <f>"460004199511014829"</f>
        <v>460004199511014829</v>
      </c>
    </row>
    <row r="1958" customFormat="1" spans="1:15">
      <c r="A1958">
        <v>2665</v>
      </c>
      <c r="B1958" t="s">
        <v>2633</v>
      </c>
      <c r="C1958" t="str">
        <f>"460003199411252241"</f>
        <v>460003199411252241</v>
      </c>
      <c r="D1958" t="str">
        <f>"248030200721"</f>
        <v>248030200721</v>
      </c>
      <c r="L1958">
        <v>2665</v>
      </c>
      <c r="M1958" t="s">
        <v>2633</v>
      </c>
      <c r="N1958" t="str">
        <f>"248030200721"</f>
        <v>248030200721</v>
      </c>
      <c r="O1958" t="str">
        <f>"460003199411252241"</f>
        <v>460003199411252241</v>
      </c>
    </row>
    <row r="1959" customFormat="1" spans="1:15">
      <c r="A1959">
        <v>2666</v>
      </c>
      <c r="B1959" t="s">
        <v>208</v>
      </c>
      <c r="C1959" t="str">
        <f>"460005199802254124"</f>
        <v>460005199802254124</v>
      </c>
      <c r="D1959" t="str">
        <f>"248030101507"</f>
        <v>248030101507</v>
      </c>
      <c r="L1959">
        <v>2666</v>
      </c>
      <c r="M1959" t="s">
        <v>208</v>
      </c>
      <c r="N1959" t="str">
        <f>"248030101507"</f>
        <v>248030101507</v>
      </c>
      <c r="O1959" t="str">
        <f>"460005199802254124"</f>
        <v>460005199802254124</v>
      </c>
    </row>
    <row r="1960" customFormat="1" spans="1:15">
      <c r="A1960">
        <v>2668</v>
      </c>
      <c r="B1960" t="s">
        <v>2634</v>
      </c>
      <c r="C1960" t="str">
        <f>"460007199607120860"</f>
        <v>460007199607120860</v>
      </c>
      <c r="D1960" t="str">
        <f>"248030401309"</f>
        <v>248030401309</v>
      </c>
      <c r="L1960">
        <v>2668</v>
      </c>
      <c r="M1960" t="s">
        <v>2634</v>
      </c>
      <c r="N1960" t="str">
        <f>"248030401309"</f>
        <v>248030401309</v>
      </c>
      <c r="O1960" t="str">
        <f>"460007199607120860"</f>
        <v>460007199607120860</v>
      </c>
    </row>
    <row r="1961" customFormat="1" spans="1:15">
      <c r="A1961">
        <v>2669</v>
      </c>
      <c r="B1961" t="s">
        <v>2635</v>
      </c>
      <c r="C1961" t="str">
        <f>"460002199911035212"</f>
        <v>460002199911035212</v>
      </c>
      <c r="L1961">
        <v>2669</v>
      </c>
      <c r="M1961" t="s">
        <v>2635</v>
      </c>
      <c r="O1961" t="str">
        <f>"460002199911035212"</f>
        <v>460002199911035212</v>
      </c>
    </row>
    <row r="1962" customFormat="1" spans="1:15">
      <c r="A1962">
        <v>2670</v>
      </c>
      <c r="B1962" t="s">
        <v>2636</v>
      </c>
      <c r="C1962" t="str">
        <f>"460027199712070426"</f>
        <v>460027199712070426</v>
      </c>
      <c r="D1962" t="str">
        <f>"248030203716"</f>
        <v>248030203716</v>
      </c>
      <c r="L1962">
        <v>2670</v>
      </c>
      <c r="M1962" t="s">
        <v>2636</v>
      </c>
      <c r="N1962" t="str">
        <f>"248030203716"</f>
        <v>248030203716</v>
      </c>
      <c r="O1962" t="str">
        <f>"460027199712070426"</f>
        <v>460027199712070426</v>
      </c>
    </row>
    <row r="1963" customFormat="1" spans="1:15">
      <c r="A1963">
        <v>2671</v>
      </c>
      <c r="B1963" t="s">
        <v>2637</v>
      </c>
      <c r="C1963" t="str">
        <f>"460007199704084662"</f>
        <v>460007199704084662</v>
      </c>
      <c r="L1963">
        <v>2671</v>
      </c>
      <c r="M1963" t="s">
        <v>2637</v>
      </c>
      <c r="O1963" t="str">
        <f>"460007199704084662"</f>
        <v>460007199704084662</v>
      </c>
    </row>
    <row r="1964" customFormat="1" spans="1:15">
      <c r="A1964">
        <v>2672</v>
      </c>
      <c r="B1964" t="s">
        <v>2638</v>
      </c>
      <c r="C1964" t="str">
        <f>"460028200208080045"</f>
        <v>460028200208080045</v>
      </c>
      <c r="D1964" t="str">
        <f>"248030103414"</f>
        <v>248030103414</v>
      </c>
      <c r="L1964">
        <v>2672</v>
      </c>
      <c r="M1964" t="s">
        <v>2638</v>
      </c>
      <c r="N1964" t="str">
        <f>"248030103414"</f>
        <v>248030103414</v>
      </c>
      <c r="O1964" t="str">
        <f>"460028200208080045"</f>
        <v>460028200208080045</v>
      </c>
    </row>
    <row r="1965" customFormat="1" spans="1:15">
      <c r="A1965">
        <v>2673</v>
      </c>
      <c r="B1965" t="s">
        <v>2639</v>
      </c>
      <c r="C1965" t="str">
        <f>"460027199309131022"</f>
        <v>460027199309131022</v>
      </c>
      <c r="D1965" t="str">
        <f>"248030103628"</f>
        <v>248030103628</v>
      </c>
      <c r="L1965">
        <v>2673</v>
      </c>
      <c r="M1965" t="s">
        <v>2639</v>
      </c>
      <c r="N1965" t="str">
        <f>"248030103628"</f>
        <v>248030103628</v>
      </c>
      <c r="O1965" t="str">
        <f>"460027199309131022"</f>
        <v>460027199309131022</v>
      </c>
    </row>
    <row r="1966" customFormat="1" spans="1:15">
      <c r="A1966">
        <v>2674</v>
      </c>
      <c r="B1966" t="s">
        <v>2640</v>
      </c>
      <c r="C1966" t="str">
        <f>"460003199811295021"</f>
        <v>460003199811295021</v>
      </c>
      <c r="L1966">
        <v>2674</v>
      </c>
      <c r="M1966" t="s">
        <v>2640</v>
      </c>
      <c r="O1966" t="str">
        <f>"460003199811295021"</f>
        <v>460003199811295021</v>
      </c>
    </row>
    <row r="1967" customFormat="1" spans="1:15">
      <c r="A1967">
        <v>2675</v>
      </c>
      <c r="B1967" t="s">
        <v>2641</v>
      </c>
      <c r="C1967" t="str">
        <f>"410621199111230549"</f>
        <v>410621199111230549</v>
      </c>
      <c r="L1967">
        <v>2675</v>
      </c>
      <c r="M1967" t="s">
        <v>2641</v>
      </c>
      <c r="O1967" t="str">
        <f>"410621199111230549"</f>
        <v>410621199111230549</v>
      </c>
    </row>
    <row r="1968" customFormat="1" spans="1:15">
      <c r="A1968">
        <v>2676</v>
      </c>
      <c r="B1968" t="s">
        <v>2642</v>
      </c>
      <c r="C1968" t="str">
        <f>"460022199601156022"</f>
        <v>460022199601156022</v>
      </c>
      <c r="D1968" t="str">
        <f>"248030104421"</f>
        <v>248030104421</v>
      </c>
      <c r="L1968">
        <v>2676</v>
      </c>
      <c r="M1968" t="s">
        <v>2642</v>
      </c>
      <c r="N1968" t="str">
        <f>"248030104421"</f>
        <v>248030104421</v>
      </c>
      <c r="O1968" t="str">
        <f>"460022199601156022"</f>
        <v>460022199601156022</v>
      </c>
    </row>
    <row r="1969" customFormat="1" spans="1:15">
      <c r="A1969">
        <v>2678</v>
      </c>
      <c r="B1969" t="s">
        <v>2643</v>
      </c>
      <c r="C1969" t="str">
        <f>"410926199203204063"</f>
        <v>410926199203204063</v>
      </c>
      <c r="D1969" t="str">
        <f>"248030503023"</f>
        <v>248030503023</v>
      </c>
      <c r="L1969">
        <v>2678</v>
      </c>
      <c r="M1969" t="s">
        <v>2643</v>
      </c>
      <c r="N1969" t="str">
        <f>"248030503023"</f>
        <v>248030503023</v>
      </c>
      <c r="O1969" t="str">
        <f>"410926199203204063"</f>
        <v>410926199203204063</v>
      </c>
    </row>
    <row r="1970" customFormat="1" spans="1:15">
      <c r="A1970">
        <v>2679</v>
      </c>
      <c r="B1970" t="s">
        <v>2644</v>
      </c>
      <c r="C1970" t="str">
        <f>"460003199507125829"</f>
        <v>460003199507125829</v>
      </c>
      <c r="D1970" t="str">
        <f>"248030104312"</f>
        <v>248030104312</v>
      </c>
      <c r="L1970">
        <v>2679</v>
      </c>
      <c r="M1970" t="s">
        <v>2644</v>
      </c>
      <c r="N1970" t="str">
        <f>"248030104312"</f>
        <v>248030104312</v>
      </c>
      <c r="O1970" t="str">
        <f>"460003199507125829"</f>
        <v>460003199507125829</v>
      </c>
    </row>
    <row r="1971" customFormat="1" spans="1:15">
      <c r="A1971">
        <v>2680</v>
      </c>
      <c r="B1971" t="s">
        <v>2645</v>
      </c>
      <c r="C1971" t="str">
        <f>"460033199904203884"</f>
        <v>460033199904203884</v>
      </c>
      <c r="D1971" t="str">
        <f>"248030301614"</f>
        <v>248030301614</v>
      </c>
      <c r="L1971">
        <v>2680</v>
      </c>
      <c r="M1971" t="s">
        <v>2645</v>
      </c>
      <c r="N1971" t="str">
        <f>"248030301614"</f>
        <v>248030301614</v>
      </c>
      <c r="O1971" t="str">
        <f>"460033199904203884"</f>
        <v>460033199904203884</v>
      </c>
    </row>
    <row r="1972" customFormat="1" spans="1:15">
      <c r="A1972">
        <v>2682</v>
      </c>
      <c r="B1972" t="s">
        <v>2646</v>
      </c>
      <c r="C1972" t="str">
        <f>"460004199411165427"</f>
        <v>460004199411165427</v>
      </c>
      <c r="D1972" t="str">
        <f>"248030102410"</f>
        <v>248030102410</v>
      </c>
      <c r="L1972">
        <v>2682</v>
      </c>
      <c r="M1972" t="s">
        <v>2646</v>
      </c>
      <c r="N1972" t="str">
        <f>"248030102410"</f>
        <v>248030102410</v>
      </c>
      <c r="O1972" t="str">
        <f>"460004199411165427"</f>
        <v>460004199411165427</v>
      </c>
    </row>
    <row r="1973" customFormat="1" spans="1:15">
      <c r="A1973">
        <v>2684</v>
      </c>
      <c r="B1973" t="s">
        <v>2647</v>
      </c>
      <c r="C1973" t="str">
        <f>"460004199802062425"</f>
        <v>460004199802062425</v>
      </c>
      <c r="D1973" t="str">
        <f>"248030300305"</f>
        <v>248030300305</v>
      </c>
      <c r="L1973">
        <v>2684</v>
      </c>
      <c r="M1973" t="s">
        <v>2647</v>
      </c>
      <c r="N1973" t="str">
        <f>"248030300305"</f>
        <v>248030300305</v>
      </c>
      <c r="O1973" t="str">
        <f>"460004199802062425"</f>
        <v>460004199802062425</v>
      </c>
    </row>
    <row r="1974" customFormat="1" spans="1:15">
      <c r="A1974">
        <v>2685</v>
      </c>
      <c r="B1974" t="s">
        <v>2648</v>
      </c>
      <c r="C1974" t="str">
        <f>"460004200104302810"</f>
        <v>460004200104302810</v>
      </c>
      <c r="D1974" t="str">
        <f>"248030300424"</f>
        <v>248030300424</v>
      </c>
      <c r="L1974">
        <v>2685</v>
      </c>
      <c r="M1974" t="s">
        <v>2648</v>
      </c>
      <c r="N1974" t="str">
        <f>"248030300424"</f>
        <v>248030300424</v>
      </c>
      <c r="O1974" t="str">
        <f>"460004200104302810"</f>
        <v>460004200104302810</v>
      </c>
    </row>
    <row r="1975" customFormat="1" spans="1:15">
      <c r="A1975">
        <v>2686</v>
      </c>
      <c r="B1975" t="s">
        <v>699</v>
      </c>
      <c r="C1975" t="str">
        <f>"460027198805226229"</f>
        <v>460027198805226229</v>
      </c>
      <c r="L1975">
        <v>2686</v>
      </c>
      <c r="M1975" t="s">
        <v>699</v>
      </c>
      <c r="O1975" t="str">
        <f>"460027198805226229"</f>
        <v>460027198805226229</v>
      </c>
    </row>
    <row r="1976" customFormat="1" spans="1:15">
      <c r="A1976">
        <v>2687</v>
      </c>
      <c r="B1976" t="s">
        <v>2649</v>
      </c>
      <c r="C1976" t="str">
        <f>"469003199808196426"</f>
        <v>469003199808196426</v>
      </c>
      <c r="L1976">
        <v>2687</v>
      </c>
      <c r="M1976" t="s">
        <v>2649</v>
      </c>
      <c r="O1976" t="str">
        <f>"469003199808196426"</f>
        <v>469003199808196426</v>
      </c>
    </row>
    <row r="1977" customFormat="1" spans="1:15">
      <c r="A1977">
        <v>2688</v>
      </c>
      <c r="B1977" t="s">
        <v>2650</v>
      </c>
      <c r="C1977" t="str">
        <f>"460005200208152147"</f>
        <v>460005200208152147</v>
      </c>
      <c r="D1977" t="str">
        <f>"248030101106"</f>
        <v>248030101106</v>
      </c>
      <c r="L1977">
        <v>2688</v>
      </c>
      <c r="M1977" t="s">
        <v>2650</v>
      </c>
      <c r="N1977" t="str">
        <f>"248030101106"</f>
        <v>248030101106</v>
      </c>
      <c r="O1977" t="str">
        <f>"460005200208152147"</f>
        <v>460005200208152147</v>
      </c>
    </row>
    <row r="1978" customFormat="1" spans="1:15">
      <c r="A1978">
        <v>2689</v>
      </c>
      <c r="B1978" t="s">
        <v>333</v>
      </c>
      <c r="C1978" t="str">
        <f>"371122199710314223"</f>
        <v>371122199710314223</v>
      </c>
      <c r="D1978" t="str">
        <f>"248030202027"</f>
        <v>248030202027</v>
      </c>
      <c r="L1978">
        <v>2689</v>
      </c>
      <c r="M1978" t="s">
        <v>333</v>
      </c>
      <c r="N1978" t="str">
        <f>"248030202027"</f>
        <v>248030202027</v>
      </c>
      <c r="O1978" t="str">
        <f>"371122199710314223"</f>
        <v>371122199710314223</v>
      </c>
    </row>
    <row r="1979" customFormat="1" spans="1:15">
      <c r="A1979">
        <v>2690</v>
      </c>
      <c r="B1979" t="s">
        <v>2651</v>
      </c>
      <c r="C1979" t="str">
        <f>"460028199904110863"</f>
        <v>460028199904110863</v>
      </c>
      <c r="D1979" t="str">
        <f>"248030200130"</f>
        <v>248030200130</v>
      </c>
      <c r="L1979">
        <v>2690</v>
      </c>
      <c r="M1979" t="s">
        <v>2651</v>
      </c>
      <c r="N1979" t="str">
        <f>"248030200130"</f>
        <v>248030200130</v>
      </c>
      <c r="O1979" t="str">
        <f>"460028199904110863"</f>
        <v>460028199904110863</v>
      </c>
    </row>
    <row r="1980" customFormat="1" spans="1:15">
      <c r="A1980">
        <v>2691</v>
      </c>
      <c r="B1980" t="s">
        <v>2652</v>
      </c>
      <c r="C1980" t="str">
        <f>"460002199501295820"</f>
        <v>460002199501295820</v>
      </c>
      <c r="D1980" t="str">
        <f>"248030103819"</f>
        <v>248030103819</v>
      </c>
      <c r="L1980">
        <v>2691</v>
      </c>
      <c r="M1980" t="s">
        <v>2652</v>
      </c>
      <c r="N1980" t="str">
        <f>"248030103819"</f>
        <v>248030103819</v>
      </c>
      <c r="O1980" t="str">
        <f>"460002199501295820"</f>
        <v>460002199501295820</v>
      </c>
    </row>
    <row r="1981" customFormat="1" spans="1:15">
      <c r="A1981">
        <v>2692</v>
      </c>
      <c r="B1981" t="s">
        <v>2653</v>
      </c>
      <c r="C1981" t="str">
        <f>"469027200006244779"</f>
        <v>469027200006244779</v>
      </c>
      <c r="D1981" t="str">
        <f>"248030302121"</f>
        <v>248030302121</v>
      </c>
      <c r="L1981">
        <v>2692</v>
      </c>
      <c r="M1981" t="s">
        <v>2653</v>
      </c>
      <c r="N1981" t="str">
        <f>"248030302121"</f>
        <v>248030302121</v>
      </c>
      <c r="O1981" t="str">
        <f>"469027200006244779"</f>
        <v>469027200006244779</v>
      </c>
    </row>
    <row r="1982" customFormat="1" spans="1:15">
      <c r="A1982">
        <v>2693</v>
      </c>
      <c r="B1982" t="s">
        <v>2654</v>
      </c>
      <c r="C1982" t="str">
        <f>"460006199711262328"</f>
        <v>460006199711262328</v>
      </c>
      <c r="L1982">
        <v>2693</v>
      </c>
      <c r="M1982" t="s">
        <v>2654</v>
      </c>
      <c r="O1982" t="str">
        <f>"460006199711262328"</f>
        <v>460006199711262328</v>
      </c>
    </row>
    <row r="1983" customFormat="1" spans="1:15">
      <c r="A1983">
        <v>2696</v>
      </c>
      <c r="B1983" t="s">
        <v>2655</v>
      </c>
      <c r="C1983" t="str">
        <f>"460006199511207543"</f>
        <v>460006199511207543</v>
      </c>
      <c r="D1983" t="str">
        <f>"248030501406"</f>
        <v>248030501406</v>
      </c>
      <c r="L1983">
        <v>2696</v>
      </c>
      <c r="M1983" t="s">
        <v>2655</v>
      </c>
      <c r="N1983" t="str">
        <f>"248030501406"</f>
        <v>248030501406</v>
      </c>
      <c r="O1983" t="str">
        <f>"460006199511207543"</f>
        <v>460006199511207543</v>
      </c>
    </row>
    <row r="1984" customFormat="1" spans="1:15">
      <c r="A1984">
        <v>2697</v>
      </c>
      <c r="B1984" t="s">
        <v>2656</v>
      </c>
      <c r="C1984" t="str">
        <f>"460002200002213427"</f>
        <v>460002200002213427</v>
      </c>
      <c r="D1984" t="str">
        <f>"248030301125"</f>
        <v>248030301125</v>
      </c>
      <c r="L1984">
        <v>2697</v>
      </c>
      <c r="M1984" t="s">
        <v>2656</v>
      </c>
      <c r="N1984" t="str">
        <f>"248030301125"</f>
        <v>248030301125</v>
      </c>
      <c r="O1984" t="str">
        <f>"460002200002213427"</f>
        <v>460002200002213427</v>
      </c>
    </row>
    <row r="1985" customFormat="1" spans="1:15">
      <c r="A1985">
        <v>2700</v>
      </c>
      <c r="B1985" t="s">
        <v>2657</v>
      </c>
      <c r="C1985" t="str">
        <f>"350783198911301513"</f>
        <v>350783198911301513</v>
      </c>
      <c r="D1985" t="str">
        <f>"248030401007"</f>
        <v>248030401007</v>
      </c>
      <c r="L1985">
        <v>2700</v>
      </c>
      <c r="M1985" t="s">
        <v>2657</v>
      </c>
      <c r="N1985" t="str">
        <f>"248030401007"</f>
        <v>248030401007</v>
      </c>
      <c r="O1985" t="str">
        <f>"350783198911301513"</f>
        <v>350783198911301513</v>
      </c>
    </row>
    <row r="1986" customFormat="1" spans="1:15">
      <c r="A1986">
        <v>2702</v>
      </c>
      <c r="B1986" t="s">
        <v>593</v>
      </c>
      <c r="C1986" t="str">
        <f>"460103199403202725"</f>
        <v>460103199403202725</v>
      </c>
      <c r="D1986" t="str">
        <f>"248030500209"</f>
        <v>248030500209</v>
      </c>
      <c r="L1986">
        <v>2702</v>
      </c>
      <c r="M1986" t="s">
        <v>593</v>
      </c>
      <c r="N1986" t="str">
        <f>"248030500209"</f>
        <v>248030500209</v>
      </c>
      <c r="O1986" t="str">
        <f>"460103199403202725"</f>
        <v>460103199403202725</v>
      </c>
    </row>
    <row r="1987" customFormat="1" spans="1:15">
      <c r="A1987">
        <v>2703</v>
      </c>
      <c r="B1987" t="s">
        <v>2321</v>
      </c>
      <c r="C1987" t="str">
        <f>"460025199510172421"</f>
        <v>460025199510172421</v>
      </c>
      <c r="D1987" t="str">
        <f>"248030500507"</f>
        <v>248030500507</v>
      </c>
      <c r="L1987">
        <v>2703</v>
      </c>
      <c r="M1987" t="s">
        <v>2321</v>
      </c>
      <c r="N1987" t="str">
        <f>"248030500507"</f>
        <v>248030500507</v>
      </c>
      <c r="O1987" t="str">
        <f>"460025199510172421"</f>
        <v>460025199510172421</v>
      </c>
    </row>
    <row r="1988" customFormat="1" spans="1:15">
      <c r="A1988">
        <v>2704</v>
      </c>
      <c r="B1988" t="s">
        <v>2658</v>
      </c>
      <c r="C1988" t="str">
        <f>"412723199910176446"</f>
        <v>412723199910176446</v>
      </c>
      <c r="D1988" t="str">
        <f>"248030101421"</f>
        <v>248030101421</v>
      </c>
      <c r="L1988">
        <v>2704</v>
      </c>
      <c r="M1988" t="s">
        <v>2658</v>
      </c>
      <c r="N1988" t="str">
        <f>"248030101421"</f>
        <v>248030101421</v>
      </c>
      <c r="O1988" t="str">
        <f>"412723199910176446"</f>
        <v>412723199910176446</v>
      </c>
    </row>
    <row r="1989" customFormat="1" spans="1:15">
      <c r="A1989">
        <v>2705</v>
      </c>
      <c r="B1989" t="s">
        <v>2659</v>
      </c>
      <c r="C1989" t="str">
        <f>"460006199508142726"</f>
        <v>460006199508142726</v>
      </c>
      <c r="D1989" t="str">
        <f>"248030103316"</f>
        <v>248030103316</v>
      </c>
      <c r="L1989">
        <v>2705</v>
      </c>
      <c r="M1989" t="s">
        <v>2659</v>
      </c>
      <c r="N1989" t="str">
        <f>"248030103316"</f>
        <v>248030103316</v>
      </c>
      <c r="O1989" t="str">
        <f>"460006199508142726"</f>
        <v>460006199508142726</v>
      </c>
    </row>
    <row r="1990" customFormat="1" spans="1:15">
      <c r="A1990">
        <v>2706</v>
      </c>
      <c r="B1990" t="s">
        <v>2660</v>
      </c>
      <c r="C1990" t="str">
        <f>"460028199609290048"</f>
        <v>460028199609290048</v>
      </c>
      <c r="D1990" t="str">
        <f>"248030200117"</f>
        <v>248030200117</v>
      </c>
      <c r="L1990">
        <v>2706</v>
      </c>
      <c r="M1990" t="s">
        <v>2660</v>
      </c>
      <c r="N1990" t="str">
        <f>"248030200117"</f>
        <v>248030200117</v>
      </c>
      <c r="O1990" t="str">
        <f>"460028199609290048"</f>
        <v>460028199609290048</v>
      </c>
    </row>
    <row r="1991" customFormat="1" spans="1:15">
      <c r="A1991">
        <v>2708</v>
      </c>
      <c r="B1991" t="s">
        <v>2321</v>
      </c>
      <c r="C1991" t="str">
        <f>"460033199608227187"</f>
        <v>460033199608227187</v>
      </c>
      <c r="L1991">
        <v>2708</v>
      </c>
      <c r="M1991" t="s">
        <v>2321</v>
      </c>
      <c r="O1991" t="str">
        <f>"460033199608227187"</f>
        <v>460033199608227187</v>
      </c>
    </row>
    <row r="1992" customFormat="1" spans="1:15">
      <c r="A1992">
        <v>2709</v>
      </c>
      <c r="B1992" t="s">
        <v>2661</v>
      </c>
      <c r="C1992" t="str">
        <f>"460031199307095261"</f>
        <v>460031199307095261</v>
      </c>
      <c r="D1992" t="str">
        <f>"248030501821"</f>
        <v>248030501821</v>
      </c>
      <c r="L1992">
        <v>2709</v>
      </c>
      <c r="M1992" t="s">
        <v>2661</v>
      </c>
      <c r="N1992" t="str">
        <f>"248030501821"</f>
        <v>248030501821</v>
      </c>
      <c r="O1992" t="str">
        <f>"460031199307095261"</f>
        <v>460031199307095261</v>
      </c>
    </row>
    <row r="1993" customFormat="1" spans="1:15">
      <c r="A1993">
        <v>2710</v>
      </c>
      <c r="B1993" t="s">
        <v>2662</v>
      </c>
      <c r="C1993" t="str">
        <f>"460028199203201623"</f>
        <v>460028199203201623</v>
      </c>
      <c r="D1993" t="str">
        <f>"248030301121"</f>
        <v>248030301121</v>
      </c>
      <c r="L1993">
        <v>2710</v>
      </c>
      <c r="M1993" t="s">
        <v>2662</v>
      </c>
      <c r="N1993" t="str">
        <f>"248030301121"</f>
        <v>248030301121</v>
      </c>
      <c r="O1993" t="str">
        <f>"460028199203201623"</f>
        <v>460028199203201623</v>
      </c>
    </row>
    <row r="1994" customFormat="1" spans="1:15">
      <c r="A1994">
        <v>2711</v>
      </c>
      <c r="B1994" t="s">
        <v>2663</v>
      </c>
      <c r="C1994" t="str">
        <f>"460102199602281829"</f>
        <v>460102199602281829</v>
      </c>
      <c r="D1994" t="str">
        <f>"248030203516"</f>
        <v>248030203516</v>
      </c>
      <c r="L1994">
        <v>2711</v>
      </c>
      <c r="M1994" t="s">
        <v>2663</v>
      </c>
      <c r="N1994" t="str">
        <f>"248030203516"</f>
        <v>248030203516</v>
      </c>
      <c r="O1994" t="str">
        <f>"460102199602281829"</f>
        <v>460102199602281829</v>
      </c>
    </row>
    <row r="1995" customFormat="1" spans="1:15">
      <c r="A1995">
        <v>2712</v>
      </c>
      <c r="B1995" t="s">
        <v>2664</v>
      </c>
      <c r="C1995" t="str">
        <f>"46902719950802448X"</f>
        <v>46902719950802448X</v>
      </c>
      <c r="D1995" t="str">
        <f>"248030200919"</f>
        <v>248030200919</v>
      </c>
      <c r="L1995">
        <v>2712</v>
      </c>
      <c r="M1995" t="s">
        <v>2664</v>
      </c>
      <c r="N1995" t="str">
        <f>"248030200919"</f>
        <v>248030200919</v>
      </c>
      <c r="O1995" t="str">
        <f>"46902719950802448X"</f>
        <v>46902719950802448X</v>
      </c>
    </row>
    <row r="1996" customFormat="1" spans="1:15">
      <c r="A1996">
        <v>2713</v>
      </c>
      <c r="B1996" t="s">
        <v>2665</v>
      </c>
      <c r="C1996" t="str">
        <f>"460004199901251440"</f>
        <v>460004199901251440</v>
      </c>
      <c r="D1996" t="str">
        <f>"248030200116"</f>
        <v>248030200116</v>
      </c>
      <c r="L1996">
        <v>2713</v>
      </c>
      <c r="M1996" t="s">
        <v>2665</v>
      </c>
      <c r="N1996" t="str">
        <f>"248030200116"</f>
        <v>248030200116</v>
      </c>
      <c r="O1996" t="str">
        <f>"460004199901251440"</f>
        <v>460004199901251440</v>
      </c>
    </row>
    <row r="1997" customFormat="1" spans="1:15">
      <c r="A1997">
        <v>2714</v>
      </c>
      <c r="B1997" t="s">
        <v>2666</v>
      </c>
      <c r="C1997" t="str">
        <f>"460028199701016017"</f>
        <v>460028199701016017</v>
      </c>
      <c r="D1997" t="str">
        <f>"248030403718"</f>
        <v>248030403718</v>
      </c>
      <c r="L1997">
        <v>2714</v>
      </c>
      <c r="M1997" t="s">
        <v>2666</v>
      </c>
      <c r="N1997" t="str">
        <f>"248030403718"</f>
        <v>248030403718</v>
      </c>
      <c r="O1997" t="str">
        <f>"460028199701016017"</f>
        <v>460028199701016017</v>
      </c>
    </row>
    <row r="1998" customFormat="1" spans="1:15">
      <c r="A1998">
        <v>2715</v>
      </c>
      <c r="B1998" t="s">
        <v>2667</v>
      </c>
      <c r="C1998" t="str">
        <f>"460003199612032042"</f>
        <v>460003199612032042</v>
      </c>
      <c r="L1998">
        <v>2715</v>
      </c>
      <c r="M1998" t="s">
        <v>2667</v>
      </c>
      <c r="O1998" t="str">
        <f>"460003199612032042"</f>
        <v>460003199612032042</v>
      </c>
    </row>
    <row r="1999" customFormat="1" spans="1:15">
      <c r="A1999">
        <v>2718</v>
      </c>
      <c r="B1999" t="s">
        <v>2668</v>
      </c>
      <c r="C1999" t="str">
        <f>"511302199609093229"</f>
        <v>511302199609093229</v>
      </c>
      <c r="D1999" t="str">
        <f>"248030502002"</f>
        <v>248030502002</v>
      </c>
      <c r="L1999">
        <v>2718</v>
      </c>
      <c r="M1999" t="s">
        <v>2668</v>
      </c>
      <c r="N1999" t="str">
        <f>"248030502002"</f>
        <v>248030502002</v>
      </c>
      <c r="O1999" t="str">
        <f>"511302199609093229"</f>
        <v>511302199609093229</v>
      </c>
    </row>
    <row r="2000" customFormat="1" spans="1:15">
      <c r="A2000">
        <v>2719</v>
      </c>
      <c r="B2000" t="s">
        <v>2669</v>
      </c>
      <c r="C2000" t="str">
        <f>"469007199807108020"</f>
        <v>469007199807108020</v>
      </c>
      <c r="D2000" t="str">
        <f>"248030504220"</f>
        <v>248030504220</v>
      </c>
      <c r="L2000">
        <v>2719</v>
      </c>
      <c r="M2000" t="s">
        <v>2669</v>
      </c>
      <c r="N2000" t="str">
        <f>"248030504220"</f>
        <v>248030504220</v>
      </c>
      <c r="O2000" t="str">
        <f>"469007199807108020"</f>
        <v>469007199807108020</v>
      </c>
    </row>
    <row r="2001" customFormat="1" spans="1:15">
      <c r="A2001">
        <v>2720</v>
      </c>
      <c r="B2001" t="s">
        <v>2670</v>
      </c>
      <c r="C2001" t="str">
        <f>"460003199608162848"</f>
        <v>460003199608162848</v>
      </c>
      <c r="D2001" t="str">
        <f>"248030104220"</f>
        <v>248030104220</v>
      </c>
      <c r="L2001">
        <v>2720</v>
      </c>
      <c r="M2001" t="s">
        <v>2670</v>
      </c>
      <c r="N2001" t="str">
        <f>"248030104220"</f>
        <v>248030104220</v>
      </c>
      <c r="O2001" t="str">
        <f>"460003199608162848"</f>
        <v>460003199608162848</v>
      </c>
    </row>
    <row r="2002" customFormat="1" spans="1:15">
      <c r="A2002">
        <v>2722</v>
      </c>
      <c r="B2002" t="s">
        <v>2671</v>
      </c>
      <c r="C2002" t="str">
        <f>"130406200005160624"</f>
        <v>130406200005160624</v>
      </c>
      <c r="L2002">
        <v>2722</v>
      </c>
      <c r="M2002" t="s">
        <v>2671</v>
      </c>
      <c r="O2002" t="str">
        <f>"130406200005160624"</f>
        <v>130406200005160624</v>
      </c>
    </row>
    <row r="2003" customFormat="1" spans="1:15">
      <c r="A2003">
        <v>2723</v>
      </c>
      <c r="B2003" t="s">
        <v>2672</v>
      </c>
      <c r="C2003" t="str">
        <f>"440804199806021698"</f>
        <v>440804199806021698</v>
      </c>
      <c r="D2003" t="str">
        <f>"248030201828"</f>
        <v>248030201828</v>
      </c>
      <c r="L2003">
        <v>2723</v>
      </c>
      <c r="M2003" t="s">
        <v>2672</v>
      </c>
      <c r="N2003" t="str">
        <f>"248030201828"</f>
        <v>248030201828</v>
      </c>
      <c r="O2003" t="str">
        <f>"440804199806021698"</f>
        <v>440804199806021698</v>
      </c>
    </row>
    <row r="2004" customFormat="1" spans="1:15">
      <c r="A2004">
        <v>2725</v>
      </c>
      <c r="B2004" t="s">
        <v>2673</v>
      </c>
      <c r="C2004" t="str">
        <f>"469007199901105782"</f>
        <v>469007199901105782</v>
      </c>
      <c r="D2004" t="str">
        <f>"248030102230"</f>
        <v>248030102230</v>
      </c>
      <c r="L2004">
        <v>2725</v>
      </c>
      <c r="M2004" t="s">
        <v>2673</v>
      </c>
      <c r="N2004" t="str">
        <f>"248030102230"</f>
        <v>248030102230</v>
      </c>
      <c r="O2004" t="str">
        <f>"469007199901105782"</f>
        <v>469007199901105782</v>
      </c>
    </row>
    <row r="2005" customFormat="1" spans="1:15">
      <c r="A2005">
        <v>2726</v>
      </c>
      <c r="B2005" t="s">
        <v>97</v>
      </c>
      <c r="C2005" t="str">
        <f>"460004199509094647"</f>
        <v>460004199509094647</v>
      </c>
      <c r="D2005" t="str">
        <f>"248030501815"</f>
        <v>248030501815</v>
      </c>
      <c r="L2005">
        <v>2726</v>
      </c>
      <c r="M2005" t="s">
        <v>97</v>
      </c>
      <c r="N2005" t="str">
        <f>"248030501815"</f>
        <v>248030501815</v>
      </c>
      <c r="O2005" t="str">
        <f>"460004199509094647"</f>
        <v>460004199509094647</v>
      </c>
    </row>
    <row r="2006" customFormat="1" spans="1:15">
      <c r="A2006">
        <v>2727</v>
      </c>
      <c r="B2006" t="s">
        <v>2674</v>
      </c>
      <c r="C2006" t="str">
        <f>"460006199911298720"</f>
        <v>460006199911298720</v>
      </c>
      <c r="D2006" t="str">
        <f>"248030400519"</f>
        <v>248030400519</v>
      </c>
      <c r="L2006">
        <v>2727</v>
      </c>
      <c r="M2006" t="s">
        <v>2674</v>
      </c>
      <c r="N2006" t="str">
        <f>"248030400519"</f>
        <v>248030400519</v>
      </c>
      <c r="O2006" t="str">
        <f>"460006199911298720"</f>
        <v>460006199911298720</v>
      </c>
    </row>
    <row r="2007" customFormat="1" spans="1:15">
      <c r="A2007">
        <v>2729</v>
      </c>
      <c r="B2007" t="s">
        <v>2675</v>
      </c>
      <c r="C2007" t="str">
        <f>"460028200208073224"</f>
        <v>460028200208073224</v>
      </c>
      <c r="D2007" t="str">
        <f>"248030302125"</f>
        <v>248030302125</v>
      </c>
      <c r="L2007">
        <v>2729</v>
      </c>
      <c r="M2007" t="s">
        <v>2675</v>
      </c>
      <c r="N2007" t="str">
        <f>"248030302125"</f>
        <v>248030302125</v>
      </c>
      <c r="O2007" t="str">
        <f>"460028200208073224"</f>
        <v>460028200208073224</v>
      </c>
    </row>
    <row r="2008" customFormat="1" spans="1:15">
      <c r="A2008">
        <v>2731</v>
      </c>
      <c r="B2008" t="s">
        <v>2676</v>
      </c>
      <c r="C2008" t="str">
        <f>"460033199908233888"</f>
        <v>460033199908233888</v>
      </c>
      <c r="L2008">
        <v>2731</v>
      </c>
      <c r="M2008" t="s">
        <v>2676</v>
      </c>
      <c r="O2008" t="str">
        <f>"460033199908233888"</f>
        <v>460033199908233888</v>
      </c>
    </row>
    <row r="2009" customFormat="1" spans="1:15">
      <c r="A2009">
        <v>2735</v>
      </c>
      <c r="B2009" t="s">
        <v>2677</v>
      </c>
      <c r="C2009" t="str">
        <f>"460026199803104517"</f>
        <v>460026199803104517</v>
      </c>
      <c r="D2009" t="str">
        <f>"248030103514"</f>
        <v>248030103514</v>
      </c>
      <c r="L2009">
        <v>2735</v>
      </c>
      <c r="M2009" t="s">
        <v>2677</v>
      </c>
      <c r="N2009" t="str">
        <f>"248030103514"</f>
        <v>248030103514</v>
      </c>
      <c r="O2009" t="str">
        <f>"460026199803104517"</f>
        <v>460026199803104517</v>
      </c>
    </row>
    <row r="2010" customFormat="1" spans="1:15">
      <c r="A2010">
        <v>2736</v>
      </c>
      <c r="B2010" t="s">
        <v>2678</v>
      </c>
      <c r="C2010" t="str">
        <f>"460004199601010020"</f>
        <v>460004199601010020</v>
      </c>
      <c r="D2010" t="str">
        <f>"248030100730"</f>
        <v>248030100730</v>
      </c>
      <c r="L2010">
        <v>2736</v>
      </c>
      <c r="M2010" t="s">
        <v>2678</v>
      </c>
      <c r="N2010" t="str">
        <f>"248030100730"</f>
        <v>248030100730</v>
      </c>
      <c r="O2010" t="str">
        <f>"460004199601010020"</f>
        <v>460004199601010020</v>
      </c>
    </row>
    <row r="2011" customFormat="1" spans="1:15">
      <c r="A2011">
        <v>2737</v>
      </c>
      <c r="B2011" t="s">
        <v>2679</v>
      </c>
      <c r="C2011" t="str">
        <f>"460028200011116024"</f>
        <v>460028200011116024</v>
      </c>
      <c r="D2011" t="str">
        <f>"248030300802"</f>
        <v>248030300802</v>
      </c>
      <c r="L2011">
        <v>2737</v>
      </c>
      <c r="M2011" t="s">
        <v>2679</v>
      </c>
      <c r="N2011" t="str">
        <f>"248030300802"</f>
        <v>248030300802</v>
      </c>
      <c r="O2011" t="str">
        <f>"460028200011116024"</f>
        <v>460028200011116024</v>
      </c>
    </row>
    <row r="2012" customFormat="1" spans="1:15">
      <c r="A2012">
        <v>2738</v>
      </c>
      <c r="B2012" t="s">
        <v>2680</v>
      </c>
      <c r="C2012" t="str">
        <f>"460022199602220727"</f>
        <v>460022199602220727</v>
      </c>
      <c r="D2012" t="str">
        <f>"248030203728"</f>
        <v>248030203728</v>
      </c>
      <c r="L2012">
        <v>2738</v>
      </c>
      <c r="M2012" t="s">
        <v>2680</v>
      </c>
      <c r="N2012" t="str">
        <f>"248030203728"</f>
        <v>248030203728</v>
      </c>
      <c r="O2012" t="str">
        <f>"460022199602220727"</f>
        <v>460022199602220727</v>
      </c>
    </row>
    <row r="2013" customFormat="1" spans="1:15">
      <c r="A2013">
        <v>2739</v>
      </c>
      <c r="B2013" t="s">
        <v>2681</v>
      </c>
      <c r="C2013" t="str">
        <f>"510522200107228243"</f>
        <v>510522200107228243</v>
      </c>
      <c r="D2013" t="str">
        <f>"248030201730"</f>
        <v>248030201730</v>
      </c>
      <c r="L2013">
        <v>2739</v>
      </c>
      <c r="M2013" t="s">
        <v>2681</v>
      </c>
      <c r="N2013" t="str">
        <f>"248030201730"</f>
        <v>248030201730</v>
      </c>
      <c r="O2013" t="str">
        <f>"510522200107228243"</f>
        <v>510522200107228243</v>
      </c>
    </row>
    <row r="2014" customFormat="1" spans="1:15">
      <c r="A2014">
        <v>2742</v>
      </c>
      <c r="B2014" t="s">
        <v>2682</v>
      </c>
      <c r="C2014" t="str">
        <f>"46000519990712561X"</f>
        <v>46000519990712561X</v>
      </c>
      <c r="D2014" t="str">
        <f>"248030201425"</f>
        <v>248030201425</v>
      </c>
      <c r="L2014">
        <v>2742</v>
      </c>
      <c r="M2014" t="s">
        <v>2682</v>
      </c>
      <c r="N2014" t="str">
        <f>"248030201425"</f>
        <v>248030201425</v>
      </c>
      <c r="O2014" t="str">
        <f>"46000519990712561X"</f>
        <v>46000519990712561X</v>
      </c>
    </row>
    <row r="2015" customFormat="1" spans="1:15">
      <c r="A2015">
        <v>2743</v>
      </c>
      <c r="B2015" t="s">
        <v>2683</v>
      </c>
      <c r="C2015" t="str">
        <f>"460004200002125243"</f>
        <v>460004200002125243</v>
      </c>
      <c r="D2015" t="str">
        <f>"248030102424"</f>
        <v>248030102424</v>
      </c>
      <c r="L2015">
        <v>2743</v>
      </c>
      <c r="M2015" t="s">
        <v>2683</v>
      </c>
      <c r="N2015" t="str">
        <f>"248030102424"</f>
        <v>248030102424</v>
      </c>
      <c r="O2015" t="str">
        <f>"460004200002125243"</f>
        <v>460004200002125243</v>
      </c>
    </row>
    <row r="2016" customFormat="1" spans="1:15">
      <c r="A2016">
        <v>2744</v>
      </c>
      <c r="B2016" t="s">
        <v>2684</v>
      </c>
      <c r="C2016" t="str">
        <f>"140430199804145224"</f>
        <v>140430199804145224</v>
      </c>
      <c r="D2016" t="str">
        <f>"248030104519"</f>
        <v>248030104519</v>
      </c>
      <c r="L2016">
        <v>2744</v>
      </c>
      <c r="M2016" t="s">
        <v>2684</v>
      </c>
      <c r="N2016" t="str">
        <f>"248030104519"</f>
        <v>248030104519</v>
      </c>
      <c r="O2016" t="str">
        <f>"140430199804145224"</f>
        <v>140430199804145224</v>
      </c>
    </row>
    <row r="2017" customFormat="1" spans="1:15">
      <c r="A2017">
        <v>2745</v>
      </c>
      <c r="B2017" t="s">
        <v>2685</v>
      </c>
      <c r="C2017" t="str">
        <f>"460003199608135823"</f>
        <v>460003199608135823</v>
      </c>
      <c r="D2017" t="str">
        <f>"248030502802"</f>
        <v>248030502802</v>
      </c>
      <c r="L2017">
        <v>2745</v>
      </c>
      <c r="M2017" t="s">
        <v>2685</v>
      </c>
      <c r="N2017" t="str">
        <f>"248030502802"</f>
        <v>248030502802</v>
      </c>
      <c r="O2017" t="str">
        <f>"460003199608135823"</f>
        <v>460003199608135823</v>
      </c>
    </row>
    <row r="2018" customFormat="1" spans="1:15">
      <c r="A2018">
        <v>2746</v>
      </c>
      <c r="B2018" t="s">
        <v>2686</v>
      </c>
      <c r="C2018" t="str">
        <f>"460104198810271228"</f>
        <v>460104198810271228</v>
      </c>
      <c r="L2018">
        <v>2746</v>
      </c>
      <c r="M2018" t="s">
        <v>2686</v>
      </c>
      <c r="O2018" t="str">
        <f>"460104198810271228"</f>
        <v>460104198810271228</v>
      </c>
    </row>
    <row r="2019" customFormat="1" spans="1:15">
      <c r="A2019">
        <v>2747</v>
      </c>
      <c r="B2019" t="s">
        <v>2687</v>
      </c>
      <c r="C2019" t="str">
        <f>"500223199203078049"</f>
        <v>500223199203078049</v>
      </c>
      <c r="D2019" t="str">
        <f>"248030200103"</f>
        <v>248030200103</v>
      </c>
      <c r="L2019">
        <v>2747</v>
      </c>
      <c r="M2019" t="s">
        <v>2687</v>
      </c>
      <c r="N2019" t="str">
        <f>"248030200103"</f>
        <v>248030200103</v>
      </c>
      <c r="O2019" t="str">
        <f>"500223199203078049"</f>
        <v>500223199203078049</v>
      </c>
    </row>
    <row r="2020" customFormat="1" spans="1:15">
      <c r="A2020">
        <v>2749</v>
      </c>
      <c r="B2020" t="s">
        <v>2688</v>
      </c>
      <c r="C2020" t="str">
        <f>"460028199906014816"</f>
        <v>460028199906014816</v>
      </c>
      <c r="L2020">
        <v>2749</v>
      </c>
      <c r="M2020" t="s">
        <v>2688</v>
      </c>
      <c r="O2020" t="str">
        <f>"460028199906014816"</f>
        <v>460028199906014816</v>
      </c>
    </row>
    <row r="2021" customFormat="1" spans="1:15">
      <c r="A2021">
        <v>2750</v>
      </c>
      <c r="B2021" t="s">
        <v>2689</v>
      </c>
      <c r="C2021" t="str">
        <f>"460003199812185422"</f>
        <v>460003199812185422</v>
      </c>
      <c r="D2021" t="str">
        <f>"248030400329"</f>
        <v>248030400329</v>
      </c>
      <c r="L2021">
        <v>2750</v>
      </c>
      <c r="M2021" t="s">
        <v>2689</v>
      </c>
      <c r="N2021" t="str">
        <f>"248030400329"</f>
        <v>248030400329</v>
      </c>
      <c r="O2021" t="str">
        <f>"460003199812185422"</f>
        <v>460003199812185422</v>
      </c>
    </row>
    <row r="2022" customFormat="1" spans="1:15">
      <c r="A2022">
        <v>2751</v>
      </c>
      <c r="B2022" t="s">
        <v>510</v>
      </c>
      <c r="C2022" t="str">
        <f>"511902199610247005"</f>
        <v>511902199610247005</v>
      </c>
      <c r="D2022" t="str">
        <f>"248030100222"</f>
        <v>248030100222</v>
      </c>
      <c r="L2022">
        <v>2751</v>
      </c>
      <c r="M2022" t="s">
        <v>510</v>
      </c>
      <c r="N2022" t="str">
        <f>"248030100222"</f>
        <v>248030100222</v>
      </c>
      <c r="O2022" t="str">
        <f>"511902199610247005"</f>
        <v>511902199610247005</v>
      </c>
    </row>
    <row r="2023" customFormat="1" spans="1:15">
      <c r="A2023">
        <v>2752</v>
      </c>
      <c r="B2023" t="s">
        <v>2690</v>
      </c>
      <c r="C2023" t="str">
        <f>"430223200006013227"</f>
        <v>430223200006013227</v>
      </c>
      <c r="D2023" t="str">
        <f>"248030203203"</f>
        <v>248030203203</v>
      </c>
      <c r="L2023">
        <v>2752</v>
      </c>
      <c r="M2023" t="s">
        <v>2690</v>
      </c>
      <c r="N2023" t="str">
        <f>"248030203203"</f>
        <v>248030203203</v>
      </c>
      <c r="O2023" t="str">
        <f>"430223200006013227"</f>
        <v>430223200006013227</v>
      </c>
    </row>
    <row r="2024" customFormat="1" spans="1:15">
      <c r="A2024">
        <v>2753</v>
      </c>
      <c r="B2024" t="s">
        <v>2691</v>
      </c>
      <c r="C2024" t="str">
        <f>"460006199008258423"</f>
        <v>460006199008258423</v>
      </c>
      <c r="D2024" t="str">
        <f>"248030404217"</f>
        <v>248030404217</v>
      </c>
      <c r="L2024">
        <v>2753</v>
      </c>
      <c r="M2024" t="s">
        <v>2691</v>
      </c>
      <c r="N2024" t="str">
        <f>"248030404217"</f>
        <v>248030404217</v>
      </c>
      <c r="O2024" t="str">
        <f>"460006199008258423"</f>
        <v>460006199008258423</v>
      </c>
    </row>
    <row r="2025" customFormat="1" spans="1:15">
      <c r="A2025">
        <v>2754</v>
      </c>
      <c r="B2025" t="s">
        <v>2692</v>
      </c>
      <c r="C2025" t="str">
        <f>"460006199510283122"</f>
        <v>460006199510283122</v>
      </c>
      <c r="D2025" t="str">
        <f>"248030402102"</f>
        <v>248030402102</v>
      </c>
      <c r="L2025">
        <v>2754</v>
      </c>
      <c r="M2025" t="s">
        <v>2692</v>
      </c>
      <c r="N2025" t="str">
        <f>"248030402102"</f>
        <v>248030402102</v>
      </c>
      <c r="O2025" t="str">
        <f>"460006199510283122"</f>
        <v>460006199510283122</v>
      </c>
    </row>
    <row r="2026" customFormat="1" spans="1:15">
      <c r="A2026">
        <v>2755</v>
      </c>
      <c r="B2026" t="s">
        <v>2693</v>
      </c>
      <c r="C2026" t="str">
        <f>"23233019900102462X"</f>
        <v>23233019900102462X</v>
      </c>
      <c r="D2026" t="str">
        <f>"248030501717"</f>
        <v>248030501717</v>
      </c>
      <c r="L2026">
        <v>2755</v>
      </c>
      <c r="M2026" t="s">
        <v>2693</v>
      </c>
      <c r="N2026" t="str">
        <f>"248030501717"</f>
        <v>248030501717</v>
      </c>
      <c r="O2026" t="str">
        <f>"23233019900102462X"</f>
        <v>23233019900102462X</v>
      </c>
    </row>
    <row r="2027" customFormat="1" spans="1:15">
      <c r="A2027">
        <v>2757</v>
      </c>
      <c r="B2027" t="s">
        <v>2694</v>
      </c>
      <c r="C2027" t="str">
        <f>"410103199106210025"</f>
        <v>410103199106210025</v>
      </c>
      <c r="L2027">
        <v>2757</v>
      </c>
      <c r="M2027" t="s">
        <v>2694</v>
      </c>
      <c r="O2027" t="str">
        <f>"410103199106210025"</f>
        <v>410103199106210025</v>
      </c>
    </row>
    <row r="2028" customFormat="1" spans="1:15">
      <c r="A2028">
        <v>2758</v>
      </c>
      <c r="B2028" t="s">
        <v>2695</v>
      </c>
      <c r="C2028" t="str">
        <f>"460004200004140025"</f>
        <v>460004200004140025</v>
      </c>
      <c r="D2028" t="str">
        <f>"248030300224"</f>
        <v>248030300224</v>
      </c>
      <c r="L2028">
        <v>2758</v>
      </c>
      <c r="M2028" t="s">
        <v>2695</v>
      </c>
      <c r="N2028" t="str">
        <f>"248030300224"</f>
        <v>248030300224</v>
      </c>
      <c r="O2028" t="str">
        <f>"460004200004140025"</f>
        <v>460004200004140025</v>
      </c>
    </row>
    <row r="2029" customFormat="1" spans="1:15">
      <c r="A2029">
        <v>2759</v>
      </c>
      <c r="B2029" t="s">
        <v>2696</v>
      </c>
      <c r="C2029" t="str">
        <f>"460007199806145374"</f>
        <v>460007199806145374</v>
      </c>
      <c r="L2029">
        <v>2759</v>
      </c>
      <c r="M2029" t="s">
        <v>2696</v>
      </c>
      <c r="O2029" t="str">
        <f>"460007199806145374"</f>
        <v>460007199806145374</v>
      </c>
    </row>
    <row r="2030" customFormat="1" spans="1:15">
      <c r="A2030">
        <v>2760</v>
      </c>
      <c r="B2030" t="s">
        <v>2697</v>
      </c>
      <c r="C2030" t="str">
        <f>"460032199106240828"</f>
        <v>460032199106240828</v>
      </c>
      <c r="L2030">
        <v>2760</v>
      </c>
      <c r="M2030" t="s">
        <v>2697</v>
      </c>
      <c r="O2030" t="str">
        <f>"460032199106240828"</f>
        <v>460032199106240828</v>
      </c>
    </row>
    <row r="2031" customFormat="1" spans="1:15">
      <c r="A2031">
        <v>2762</v>
      </c>
      <c r="B2031" t="s">
        <v>2698</v>
      </c>
      <c r="C2031" t="str">
        <f>"460027199607291745"</f>
        <v>460027199607291745</v>
      </c>
      <c r="D2031" t="str">
        <f>"248030100602"</f>
        <v>248030100602</v>
      </c>
      <c r="L2031">
        <v>2762</v>
      </c>
      <c r="M2031" t="s">
        <v>2698</v>
      </c>
      <c r="N2031" t="str">
        <f>"248030100602"</f>
        <v>248030100602</v>
      </c>
      <c r="O2031" t="str">
        <f>"460027199607291745"</f>
        <v>460027199607291745</v>
      </c>
    </row>
    <row r="2032" customFormat="1" spans="1:15">
      <c r="A2032">
        <v>2764</v>
      </c>
      <c r="B2032" t="s">
        <v>2699</v>
      </c>
      <c r="C2032" t="str">
        <f>"469023200003315919"</f>
        <v>469023200003315919</v>
      </c>
      <c r="L2032">
        <v>2764</v>
      </c>
      <c r="M2032" t="s">
        <v>2699</v>
      </c>
      <c r="O2032" t="str">
        <f>"469023200003315919"</f>
        <v>469023200003315919</v>
      </c>
    </row>
    <row r="2033" customFormat="1" spans="1:15">
      <c r="A2033">
        <v>2767</v>
      </c>
      <c r="B2033" t="s">
        <v>2700</v>
      </c>
      <c r="C2033" t="str">
        <f>"469007200204057215"</f>
        <v>469007200204057215</v>
      </c>
      <c r="D2033" t="str">
        <f>"248030201701"</f>
        <v>248030201701</v>
      </c>
      <c r="L2033">
        <v>2767</v>
      </c>
      <c r="M2033" t="s">
        <v>2700</v>
      </c>
      <c r="N2033" t="str">
        <f>"248030201701"</f>
        <v>248030201701</v>
      </c>
      <c r="O2033" t="str">
        <f>"469007200204057215"</f>
        <v>469007200204057215</v>
      </c>
    </row>
    <row r="2034" customFormat="1" spans="1:15">
      <c r="A2034">
        <v>2768</v>
      </c>
      <c r="B2034" t="s">
        <v>2701</v>
      </c>
      <c r="C2034" t="str">
        <f>"460005199511060346"</f>
        <v>460005199511060346</v>
      </c>
      <c r="D2034" t="str">
        <f>"248030201930"</f>
        <v>248030201930</v>
      </c>
      <c r="L2034">
        <v>2768</v>
      </c>
      <c r="M2034" t="s">
        <v>2701</v>
      </c>
      <c r="N2034" t="str">
        <f>"248030201930"</f>
        <v>248030201930</v>
      </c>
      <c r="O2034" t="str">
        <f>"460005199511060346"</f>
        <v>460005199511060346</v>
      </c>
    </row>
    <row r="2035" customFormat="1" spans="1:15">
      <c r="A2035">
        <v>2770</v>
      </c>
      <c r="B2035" t="s">
        <v>2702</v>
      </c>
      <c r="C2035" t="str">
        <f>"460003199208061626"</f>
        <v>460003199208061626</v>
      </c>
      <c r="D2035" t="str">
        <f>"248030203413"</f>
        <v>248030203413</v>
      </c>
      <c r="L2035">
        <v>2770</v>
      </c>
      <c r="M2035" t="s">
        <v>2702</v>
      </c>
      <c r="N2035" t="str">
        <f>"248030203413"</f>
        <v>248030203413</v>
      </c>
      <c r="O2035" t="str">
        <f>"460003199208061626"</f>
        <v>460003199208061626</v>
      </c>
    </row>
    <row r="2036" customFormat="1" spans="1:15">
      <c r="A2036">
        <v>2771</v>
      </c>
      <c r="B2036" t="s">
        <v>2703</v>
      </c>
      <c r="C2036" t="str">
        <f>"460028200010125623"</f>
        <v>460028200010125623</v>
      </c>
      <c r="D2036" t="str">
        <f>"248030302301"</f>
        <v>248030302301</v>
      </c>
      <c r="L2036">
        <v>2771</v>
      </c>
      <c r="M2036" t="s">
        <v>2703</v>
      </c>
      <c r="N2036" t="str">
        <f>"248030302301"</f>
        <v>248030302301</v>
      </c>
      <c r="O2036" t="str">
        <f>"460028200010125623"</f>
        <v>460028200010125623</v>
      </c>
    </row>
    <row r="2037" customFormat="1" spans="1:15">
      <c r="A2037">
        <v>2772</v>
      </c>
      <c r="B2037" t="s">
        <v>2704</v>
      </c>
      <c r="C2037" t="str">
        <f>"469007200205157226"</f>
        <v>469007200205157226</v>
      </c>
      <c r="D2037" t="str">
        <f>"248030105007"</f>
        <v>248030105007</v>
      </c>
      <c r="L2037">
        <v>2772</v>
      </c>
      <c r="M2037" t="s">
        <v>2704</v>
      </c>
      <c r="N2037" t="str">
        <f>"248030105007"</f>
        <v>248030105007</v>
      </c>
      <c r="O2037" t="str">
        <f>"469007200205157226"</f>
        <v>469007200205157226</v>
      </c>
    </row>
    <row r="2038" customFormat="1" spans="1:15">
      <c r="A2038">
        <v>2773</v>
      </c>
      <c r="B2038" t="s">
        <v>2705</v>
      </c>
      <c r="C2038" t="str">
        <f>"460004198409100275"</f>
        <v>460004198409100275</v>
      </c>
      <c r="D2038" t="str">
        <f>"248030301130"</f>
        <v>248030301130</v>
      </c>
      <c r="L2038">
        <v>2773</v>
      </c>
      <c r="M2038" t="s">
        <v>2705</v>
      </c>
      <c r="N2038" t="str">
        <f>"248030301130"</f>
        <v>248030301130</v>
      </c>
      <c r="O2038" t="str">
        <f>"460004198409100275"</f>
        <v>460004198409100275</v>
      </c>
    </row>
    <row r="2039" customFormat="1" spans="1:15">
      <c r="A2039">
        <v>2774</v>
      </c>
      <c r="B2039" t="s">
        <v>2706</v>
      </c>
      <c r="C2039" t="str">
        <f>"460102200004200625"</f>
        <v>460102200004200625</v>
      </c>
      <c r="D2039" t="str">
        <f>"248030301521"</f>
        <v>248030301521</v>
      </c>
      <c r="L2039">
        <v>2774</v>
      </c>
      <c r="M2039" t="s">
        <v>2706</v>
      </c>
      <c r="N2039" t="str">
        <f>"248030301521"</f>
        <v>248030301521</v>
      </c>
      <c r="O2039" t="str">
        <f>"460102200004200625"</f>
        <v>460102200004200625</v>
      </c>
    </row>
    <row r="2040" customFormat="1" spans="1:15">
      <c r="A2040">
        <v>2775</v>
      </c>
      <c r="B2040" t="s">
        <v>2707</v>
      </c>
      <c r="C2040" t="str">
        <f>"460006200205262320"</f>
        <v>460006200205262320</v>
      </c>
      <c r="D2040" t="str">
        <f>"248030102214"</f>
        <v>248030102214</v>
      </c>
      <c r="L2040">
        <v>2775</v>
      </c>
      <c r="M2040" t="s">
        <v>2707</v>
      </c>
      <c r="N2040" t="str">
        <f>"248030102214"</f>
        <v>248030102214</v>
      </c>
      <c r="O2040" t="str">
        <f>"460006200205262320"</f>
        <v>460006200205262320</v>
      </c>
    </row>
    <row r="2041" customFormat="1" spans="1:15">
      <c r="A2041">
        <v>2776</v>
      </c>
      <c r="B2041" t="s">
        <v>2708</v>
      </c>
      <c r="C2041" t="str">
        <f>"460007199711135827"</f>
        <v>460007199711135827</v>
      </c>
      <c r="L2041">
        <v>2776</v>
      </c>
      <c r="M2041" t="s">
        <v>2708</v>
      </c>
      <c r="O2041" t="str">
        <f>"460007199711135827"</f>
        <v>460007199711135827</v>
      </c>
    </row>
    <row r="2042" customFormat="1" spans="1:15">
      <c r="A2042">
        <v>2777</v>
      </c>
      <c r="B2042" t="s">
        <v>2709</v>
      </c>
      <c r="C2042" t="str">
        <f>"440801200201142020"</f>
        <v>440801200201142020</v>
      </c>
      <c r="D2042" t="str">
        <f>"248030102911"</f>
        <v>248030102911</v>
      </c>
      <c r="L2042">
        <v>2777</v>
      </c>
      <c r="M2042" t="s">
        <v>2709</v>
      </c>
      <c r="N2042" t="str">
        <f>"248030102911"</f>
        <v>248030102911</v>
      </c>
      <c r="O2042" t="str">
        <f>"440801200201142020"</f>
        <v>440801200201142020</v>
      </c>
    </row>
    <row r="2043" customFormat="1" spans="1:15">
      <c r="A2043">
        <v>2778</v>
      </c>
      <c r="B2043" t="s">
        <v>2710</v>
      </c>
      <c r="C2043" t="str">
        <f>"469024199707030066"</f>
        <v>469024199707030066</v>
      </c>
      <c r="D2043" t="str">
        <f>"248030104829"</f>
        <v>248030104829</v>
      </c>
      <c r="L2043">
        <v>2778</v>
      </c>
      <c r="M2043" t="s">
        <v>2710</v>
      </c>
      <c r="N2043" t="str">
        <f>"248030104829"</f>
        <v>248030104829</v>
      </c>
      <c r="O2043" t="str">
        <f>"469024199707030066"</f>
        <v>469024199707030066</v>
      </c>
    </row>
    <row r="2044" customFormat="1" spans="1:15">
      <c r="A2044">
        <v>2780</v>
      </c>
      <c r="B2044" t="s">
        <v>2711</v>
      </c>
      <c r="C2044" t="str">
        <f>"460003199305152423"</f>
        <v>460003199305152423</v>
      </c>
      <c r="L2044">
        <v>2780</v>
      </c>
      <c r="M2044" t="s">
        <v>2711</v>
      </c>
      <c r="O2044" t="str">
        <f>"460003199305152423"</f>
        <v>460003199305152423</v>
      </c>
    </row>
    <row r="2045" customFormat="1" spans="1:15">
      <c r="A2045">
        <v>2781</v>
      </c>
      <c r="B2045" t="s">
        <v>2712</v>
      </c>
      <c r="C2045" t="str">
        <f>"460003200102200443"</f>
        <v>460003200102200443</v>
      </c>
      <c r="D2045" t="str">
        <f>"248030500128"</f>
        <v>248030500128</v>
      </c>
      <c r="L2045">
        <v>2781</v>
      </c>
      <c r="M2045" t="s">
        <v>2712</v>
      </c>
      <c r="N2045" t="str">
        <f>"248030500128"</f>
        <v>248030500128</v>
      </c>
      <c r="O2045" t="str">
        <f>"460003200102200443"</f>
        <v>460003200102200443</v>
      </c>
    </row>
    <row r="2046" customFormat="1" spans="1:15">
      <c r="A2046">
        <v>2783</v>
      </c>
      <c r="B2046" t="s">
        <v>2713</v>
      </c>
      <c r="C2046" t="str">
        <f>"412824199811113556"</f>
        <v>412824199811113556</v>
      </c>
      <c r="D2046" t="str">
        <f>"248030102601"</f>
        <v>248030102601</v>
      </c>
      <c r="L2046">
        <v>2783</v>
      </c>
      <c r="M2046" t="s">
        <v>2713</v>
      </c>
      <c r="N2046" t="str">
        <f>"248030102601"</f>
        <v>248030102601</v>
      </c>
      <c r="O2046" t="str">
        <f>"412824199811113556"</f>
        <v>412824199811113556</v>
      </c>
    </row>
    <row r="2047" customFormat="1" spans="1:15">
      <c r="A2047">
        <v>2784</v>
      </c>
      <c r="B2047" t="s">
        <v>2714</v>
      </c>
      <c r="C2047" t="str">
        <f>"460003199910014643"</f>
        <v>460003199910014643</v>
      </c>
      <c r="D2047" t="str">
        <f>"248030301017"</f>
        <v>248030301017</v>
      </c>
      <c r="L2047">
        <v>2784</v>
      </c>
      <c r="M2047" t="s">
        <v>2714</v>
      </c>
      <c r="N2047" t="str">
        <f>"248030301017"</f>
        <v>248030301017</v>
      </c>
      <c r="O2047" t="str">
        <f>"460003199910014643"</f>
        <v>460003199910014643</v>
      </c>
    </row>
    <row r="2048" customFormat="1" spans="1:15">
      <c r="A2048">
        <v>2785</v>
      </c>
      <c r="B2048" t="s">
        <v>2715</v>
      </c>
      <c r="C2048" t="str">
        <f>"460003199604104667"</f>
        <v>460003199604104667</v>
      </c>
      <c r="D2048" t="str">
        <f>"248030102509"</f>
        <v>248030102509</v>
      </c>
      <c r="L2048">
        <v>2785</v>
      </c>
      <c r="M2048" t="s">
        <v>2715</v>
      </c>
      <c r="N2048" t="str">
        <f>"248030102509"</f>
        <v>248030102509</v>
      </c>
      <c r="O2048" t="str">
        <f>"460003199604104667"</f>
        <v>460003199604104667</v>
      </c>
    </row>
    <row r="2049" customFormat="1" spans="1:15">
      <c r="A2049">
        <v>2786</v>
      </c>
      <c r="B2049" t="s">
        <v>2207</v>
      </c>
      <c r="C2049" t="str">
        <f>"430722199808208988"</f>
        <v>430722199808208988</v>
      </c>
      <c r="D2049" t="str">
        <f>"248030501629"</f>
        <v>248030501629</v>
      </c>
      <c r="L2049">
        <v>2786</v>
      </c>
      <c r="M2049" t="s">
        <v>2207</v>
      </c>
      <c r="N2049" t="str">
        <f>"248030501629"</f>
        <v>248030501629</v>
      </c>
      <c r="O2049" t="str">
        <f>"430722199808208988"</f>
        <v>430722199808208988</v>
      </c>
    </row>
    <row r="2050" customFormat="1" spans="1:15">
      <c r="A2050">
        <v>2789</v>
      </c>
      <c r="B2050" t="s">
        <v>2716</v>
      </c>
      <c r="C2050" t="str">
        <f>"460007199509195009"</f>
        <v>460007199509195009</v>
      </c>
      <c r="D2050" t="str">
        <f>"248030402324"</f>
        <v>248030402324</v>
      </c>
      <c r="L2050">
        <v>2789</v>
      </c>
      <c r="M2050" t="s">
        <v>2716</v>
      </c>
      <c r="N2050" t="str">
        <f>"248030402324"</f>
        <v>248030402324</v>
      </c>
      <c r="O2050" t="str">
        <f>"460007199509195009"</f>
        <v>460007199509195009</v>
      </c>
    </row>
    <row r="2051" customFormat="1" spans="1:15">
      <c r="A2051">
        <v>2790</v>
      </c>
      <c r="B2051" t="s">
        <v>2717</v>
      </c>
      <c r="C2051" t="str">
        <f>"460003199003026624"</f>
        <v>460003199003026624</v>
      </c>
      <c r="D2051" t="str">
        <f>"248030403630"</f>
        <v>248030403630</v>
      </c>
      <c r="L2051">
        <v>2790</v>
      </c>
      <c r="M2051" t="s">
        <v>2717</v>
      </c>
      <c r="N2051" t="str">
        <f>"248030403630"</f>
        <v>248030403630</v>
      </c>
      <c r="O2051" t="str">
        <f>"460003199003026624"</f>
        <v>460003199003026624</v>
      </c>
    </row>
    <row r="2052" customFormat="1" spans="1:15">
      <c r="A2052">
        <v>2791</v>
      </c>
      <c r="B2052" t="s">
        <v>2718</v>
      </c>
      <c r="C2052" t="str">
        <f>"460026200005055111"</f>
        <v>460026200005055111</v>
      </c>
      <c r="D2052" t="str">
        <f>"248030201709"</f>
        <v>248030201709</v>
      </c>
      <c r="L2052">
        <v>2791</v>
      </c>
      <c r="M2052" t="s">
        <v>2718</v>
      </c>
      <c r="N2052" t="str">
        <f>"248030201709"</f>
        <v>248030201709</v>
      </c>
      <c r="O2052" t="str">
        <f>"460026200005055111"</f>
        <v>460026200005055111</v>
      </c>
    </row>
    <row r="2053" customFormat="1" spans="1:15">
      <c r="A2053">
        <v>2792</v>
      </c>
      <c r="B2053" t="s">
        <v>2719</v>
      </c>
      <c r="C2053" t="str">
        <f>"460005200110076828"</f>
        <v>460005200110076828</v>
      </c>
      <c r="D2053" t="str">
        <f>"248030402913"</f>
        <v>248030402913</v>
      </c>
      <c r="L2053">
        <v>2792</v>
      </c>
      <c r="M2053" t="s">
        <v>2719</v>
      </c>
      <c r="N2053" t="str">
        <f>"248030402913"</f>
        <v>248030402913</v>
      </c>
      <c r="O2053" t="str">
        <f>"460005200110076828"</f>
        <v>460005200110076828</v>
      </c>
    </row>
    <row r="2054" customFormat="1" spans="1:15">
      <c r="A2054">
        <v>2793</v>
      </c>
      <c r="B2054" t="s">
        <v>2720</v>
      </c>
      <c r="C2054" t="str">
        <f>"460025200208230024"</f>
        <v>460025200208230024</v>
      </c>
      <c r="D2054" t="str">
        <f>"248030503906"</f>
        <v>248030503906</v>
      </c>
      <c r="L2054">
        <v>2793</v>
      </c>
      <c r="M2054" t="s">
        <v>2720</v>
      </c>
      <c r="N2054" t="str">
        <f>"248030503906"</f>
        <v>248030503906</v>
      </c>
      <c r="O2054" t="str">
        <f>"460025200208230024"</f>
        <v>460025200208230024</v>
      </c>
    </row>
    <row r="2055" customFormat="1" spans="1:15">
      <c r="A2055">
        <v>2794</v>
      </c>
      <c r="B2055" t="s">
        <v>2721</v>
      </c>
      <c r="C2055" t="str">
        <f>"460026200010115123"</f>
        <v>460026200010115123</v>
      </c>
      <c r="L2055">
        <v>2794</v>
      </c>
      <c r="M2055" t="s">
        <v>2721</v>
      </c>
      <c r="O2055" t="str">
        <f>"460026200010115123"</f>
        <v>460026200010115123</v>
      </c>
    </row>
    <row r="2056" customFormat="1" spans="1:15">
      <c r="A2056">
        <v>2795</v>
      </c>
      <c r="B2056" t="s">
        <v>2722</v>
      </c>
      <c r="C2056" t="str">
        <f>"460003200206192425"</f>
        <v>460003200206192425</v>
      </c>
      <c r="D2056" t="str">
        <f>"248030103411"</f>
        <v>248030103411</v>
      </c>
      <c r="L2056">
        <v>2795</v>
      </c>
      <c r="M2056" t="s">
        <v>2722</v>
      </c>
      <c r="N2056" t="str">
        <f>"248030103411"</f>
        <v>248030103411</v>
      </c>
      <c r="O2056" t="str">
        <f>"460003200206192425"</f>
        <v>460003200206192425</v>
      </c>
    </row>
    <row r="2057" customFormat="1" spans="1:15">
      <c r="A2057">
        <v>2796</v>
      </c>
      <c r="B2057" t="s">
        <v>2723</v>
      </c>
      <c r="C2057" t="str">
        <f>"460003199706033222"</f>
        <v>460003199706033222</v>
      </c>
      <c r="D2057" t="str">
        <f>"248030503920"</f>
        <v>248030503920</v>
      </c>
      <c r="L2057">
        <v>2796</v>
      </c>
      <c r="M2057" t="s">
        <v>2723</v>
      </c>
      <c r="N2057" t="str">
        <f>"248030503920"</f>
        <v>248030503920</v>
      </c>
      <c r="O2057" t="str">
        <f>"460003199706033222"</f>
        <v>460003199706033222</v>
      </c>
    </row>
    <row r="2058" customFormat="1" spans="1:15">
      <c r="A2058">
        <v>2797</v>
      </c>
      <c r="B2058" t="s">
        <v>2724</v>
      </c>
      <c r="C2058" t="str">
        <f>"460200200101100020"</f>
        <v>460200200101100020</v>
      </c>
      <c r="L2058">
        <v>2797</v>
      </c>
      <c r="M2058" t="s">
        <v>2724</v>
      </c>
      <c r="O2058" t="str">
        <f>"460200200101100020"</f>
        <v>460200200101100020</v>
      </c>
    </row>
    <row r="2059" customFormat="1" spans="1:15">
      <c r="A2059">
        <v>2799</v>
      </c>
      <c r="B2059" t="s">
        <v>2725</v>
      </c>
      <c r="C2059" t="str">
        <f>"469024199909080088"</f>
        <v>469024199909080088</v>
      </c>
      <c r="D2059" t="str">
        <f>"248030200705"</f>
        <v>248030200705</v>
      </c>
      <c r="L2059">
        <v>2799</v>
      </c>
      <c r="M2059" t="s">
        <v>2725</v>
      </c>
      <c r="N2059" t="str">
        <f>"248030200705"</f>
        <v>248030200705</v>
      </c>
      <c r="O2059" t="str">
        <f>"469024199909080088"</f>
        <v>469024199909080088</v>
      </c>
    </row>
    <row r="2060" customFormat="1" spans="1:15">
      <c r="A2060">
        <v>2801</v>
      </c>
      <c r="B2060" t="s">
        <v>2726</v>
      </c>
      <c r="C2060" t="str">
        <f>"460006200210270018"</f>
        <v>460006200210270018</v>
      </c>
      <c r="D2060" t="str">
        <f>"248030401820"</f>
        <v>248030401820</v>
      </c>
      <c r="L2060">
        <v>2801</v>
      </c>
      <c r="M2060" t="s">
        <v>2726</v>
      </c>
      <c r="N2060" t="str">
        <f>"248030401820"</f>
        <v>248030401820</v>
      </c>
      <c r="O2060" t="str">
        <f>"460006200210270018"</f>
        <v>460006200210270018</v>
      </c>
    </row>
    <row r="2061" customFormat="1" spans="1:15">
      <c r="A2061">
        <v>2802</v>
      </c>
      <c r="B2061" t="s">
        <v>2727</v>
      </c>
      <c r="C2061" t="str">
        <f>"460028199901074422"</f>
        <v>460028199901074422</v>
      </c>
      <c r="L2061">
        <v>2802</v>
      </c>
      <c r="M2061" t="s">
        <v>2727</v>
      </c>
      <c r="O2061" t="str">
        <f>"460028199901074422"</f>
        <v>460028199901074422</v>
      </c>
    </row>
    <row r="2062" customFormat="1" spans="1:15">
      <c r="A2062">
        <v>2804</v>
      </c>
      <c r="B2062" t="s">
        <v>2728</v>
      </c>
      <c r="C2062" t="str">
        <f>"460102199703140910"</f>
        <v>460102199703140910</v>
      </c>
      <c r="D2062" t="str">
        <f>"248030202326"</f>
        <v>248030202326</v>
      </c>
      <c r="L2062">
        <v>2804</v>
      </c>
      <c r="M2062" t="s">
        <v>2728</v>
      </c>
      <c r="N2062" t="str">
        <f>"248030202326"</f>
        <v>248030202326</v>
      </c>
      <c r="O2062" t="str">
        <f>"460102199703140910"</f>
        <v>460102199703140910</v>
      </c>
    </row>
    <row r="2063" customFormat="1" spans="1:15">
      <c r="A2063">
        <v>2805</v>
      </c>
      <c r="B2063" t="s">
        <v>2729</v>
      </c>
      <c r="C2063" t="str">
        <f>"460028200206130846"</f>
        <v>460028200206130846</v>
      </c>
      <c r="D2063" t="str">
        <f>"248030103330"</f>
        <v>248030103330</v>
      </c>
      <c r="L2063">
        <v>2805</v>
      </c>
      <c r="M2063" t="s">
        <v>2729</v>
      </c>
      <c r="N2063" t="str">
        <f>"248030103330"</f>
        <v>248030103330</v>
      </c>
      <c r="O2063" t="str">
        <f>"460028200206130846"</f>
        <v>460028200206130846</v>
      </c>
    </row>
    <row r="2064" customFormat="1" spans="1:15">
      <c r="A2064">
        <v>2806</v>
      </c>
      <c r="B2064" t="s">
        <v>2730</v>
      </c>
      <c r="C2064" t="str">
        <f>"460033199903015689"</f>
        <v>460033199903015689</v>
      </c>
      <c r="D2064" t="str">
        <f>"248030104822"</f>
        <v>248030104822</v>
      </c>
      <c r="L2064">
        <v>2806</v>
      </c>
      <c r="M2064" t="s">
        <v>2730</v>
      </c>
      <c r="N2064" t="str">
        <f>"248030104822"</f>
        <v>248030104822</v>
      </c>
      <c r="O2064" t="str">
        <f>"460033199903015689"</f>
        <v>460033199903015689</v>
      </c>
    </row>
    <row r="2065" customFormat="1" spans="1:15">
      <c r="A2065">
        <v>2807</v>
      </c>
      <c r="B2065" t="s">
        <v>316</v>
      </c>
      <c r="C2065" t="str">
        <f>"460004199202095266"</f>
        <v>460004199202095266</v>
      </c>
      <c r="D2065" t="str">
        <f>"248030100518"</f>
        <v>248030100518</v>
      </c>
      <c r="L2065">
        <v>2807</v>
      </c>
      <c r="M2065" t="s">
        <v>316</v>
      </c>
      <c r="N2065" t="str">
        <f>"248030100518"</f>
        <v>248030100518</v>
      </c>
      <c r="O2065" t="str">
        <f>"460004199202095266"</f>
        <v>460004199202095266</v>
      </c>
    </row>
    <row r="2066" customFormat="1" spans="1:15">
      <c r="A2066">
        <v>2808</v>
      </c>
      <c r="B2066" t="s">
        <v>2076</v>
      </c>
      <c r="C2066" t="str">
        <f>"460102200204112128"</f>
        <v>460102200204112128</v>
      </c>
      <c r="D2066" t="str">
        <f>"248030403205"</f>
        <v>248030403205</v>
      </c>
      <c r="L2066">
        <v>2808</v>
      </c>
      <c r="M2066" t="s">
        <v>2076</v>
      </c>
      <c r="N2066" t="str">
        <f>"248030403205"</f>
        <v>248030403205</v>
      </c>
      <c r="O2066" t="str">
        <f>"460102200204112128"</f>
        <v>460102200204112128</v>
      </c>
    </row>
    <row r="2067" customFormat="1" spans="1:15">
      <c r="A2067">
        <v>2810</v>
      </c>
      <c r="B2067" t="s">
        <v>2731</v>
      </c>
      <c r="C2067" t="str">
        <f>"469024200108020865"</f>
        <v>469024200108020865</v>
      </c>
      <c r="D2067" t="str">
        <f>"248030400322"</f>
        <v>248030400322</v>
      </c>
      <c r="L2067">
        <v>2810</v>
      </c>
      <c r="M2067" t="s">
        <v>2731</v>
      </c>
      <c r="N2067" t="str">
        <f>"248030400322"</f>
        <v>248030400322</v>
      </c>
      <c r="O2067" t="str">
        <f>"469024200108020865"</f>
        <v>469024200108020865</v>
      </c>
    </row>
    <row r="2068" customFormat="1" spans="1:15">
      <c r="A2068">
        <v>2811</v>
      </c>
      <c r="B2068" t="s">
        <v>2732</v>
      </c>
      <c r="C2068" t="str">
        <f>"230604198910064116"</f>
        <v>230604198910064116</v>
      </c>
      <c r="D2068" t="str">
        <f>"248030400910"</f>
        <v>248030400910</v>
      </c>
      <c r="L2068">
        <v>2811</v>
      </c>
      <c r="M2068" t="s">
        <v>2732</v>
      </c>
      <c r="N2068" t="str">
        <f>"248030400910"</f>
        <v>248030400910</v>
      </c>
      <c r="O2068" t="str">
        <f>"230604198910064116"</f>
        <v>230604198910064116</v>
      </c>
    </row>
    <row r="2069" customFormat="1" spans="1:15">
      <c r="A2069">
        <v>2812</v>
      </c>
      <c r="B2069" t="s">
        <v>2733</v>
      </c>
      <c r="C2069" t="str">
        <f>"46900120000917002X"</f>
        <v>46900120000917002X</v>
      </c>
      <c r="L2069">
        <v>2812</v>
      </c>
      <c r="M2069" t="s">
        <v>2733</v>
      </c>
      <c r="O2069" t="str">
        <f>"46900120000917002X"</f>
        <v>46900120000917002X</v>
      </c>
    </row>
    <row r="2070" customFormat="1" spans="1:15">
      <c r="A2070">
        <v>2813</v>
      </c>
      <c r="B2070" t="s">
        <v>2734</v>
      </c>
      <c r="C2070" t="str">
        <f>"460025200201092722"</f>
        <v>460025200201092722</v>
      </c>
      <c r="D2070" t="str">
        <f>"248030203825"</f>
        <v>248030203825</v>
      </c>
      <c r="L2070">
        <v>2813</v>
      </c>
      <c r="M2070" t="s">
        <v>2734</v>
      </c>
      <c r="N2070" t="str">
        <f>"248030203825"</f>
        <v>248030203825</v>
      </c>
      <c r="O2070" t="str">
        <f>"460025200201092722"</f>
        <v>460025200201092722</v>
      </c>
    </row>
    <row r="2071" customFormat="1" spans="1:15">
      <c r="A2071">
        <v>2814</v>
      </c>
      <c r="B2071" t="s">
        <v>2735</v>
      </c>
      <c r="C2071" t="str">
        <f>"460200199811030025"</f>
        <v>460200199811030025</v>
      </c>
      <c r="L2071">
        <v>2814</v>
      </c>
      <c r="M2071" t="s">
        <v>2735</v>
      </c>
      <c r="O2071" t="str">
        <f>"460200199811030025"</f>
        <v>460200199811030025</v>
      </c>
    </row>
    <row r="2072" customFormat="1" spans="1:15">
      <c r="A2072">
        <v>2815</v>
      </c>
      <c r="B2072" t="s">
        <v>2736</v>
      </c>
      <c r="C2072" t="str">
        <f>"440923199408184322"</f>
        <v>440923199408184322</v>
      </c>
      <c r="D2072" t="str">
        <f>"248030502908"</f>
        <v>248030502908</v>
      </c>
      <c r="L2072">
        <v>2815</v>
      </c>
      <c r="M2072" t="s">
        <v>2736</v>
      </c>
      <c r="N2072" t="str">
        <f>"248030502908"</f>
        <v>248030502908</v>
      </c>
      <c r="O2072" t="str">
        <f>"440923199408184322"</f>
        <v>440923199408184322</v>
      </c>
    </row>
    <row r="2073" customFormat="1" spans="1:15">
      <c r="A2073">
        <v>2816</v>
      </c>
      <c r="B2073" t="s">
        <v>2737</v>
      </c>
      <c r="C2073" t="str">
        <f>"460033199306056589"</f>
        <v>460033199306056589</v>
      </c>
      <c r="D2073" t="str">
        <f>"248030403110"</f>
        <v>248030403110</v>
      </c>
      <c r="L2073">
        <v>2816</v>
      </c>
      <c r="M2073" t="s">
        <v>2737</v>
      </c>
      <c r="N2073" t="str">
        <f>"248030403110"</f>
        <v>248030403110</v>
      </c>
      <c r="O2073" t="str">
        <f>"460033199306056589"</f>
        <v>460033199306056589</v>
      </c>
    </row>
    <row r="2074" customFormat="1" spans="1:15">
      <c r="A2074">
        <v>2817</v>
      </c>
      <c r="B2074" t="s">
        <v>552</v>
      </c>
      <c r="C2074" t="str">
        <f>"231123199808050022"</f>
        <v>231123199808050022</v>
      </c>
      <c r="D2074" t="str">
        <f>"248030400704"</f>
        <v>248030400704</v>
      </c>
      <c r="L2074">
        <v>2817</v>
      </c>
      <c r="M2074" t="s">
        <v>552</v>
      </c>
      <c r="N2074" t="str">
        <f>"248030400704"</f>
        <v>248030400704</v>
      </c>
      <c r="O2074" t="str">
        <f>"231123199808050022"</f>
        <v>231123199808050022</v>
      </c>
    </row>
    <row r="2075" customFormat="1" spans="1:15">
      <c r="A2075">
        <v>2818</v>
      </c>
      <c r="B2075" t="s">
        <v>2738</v>
      </c>
      <c r="C2075" t="str">
        <f>"460035199210031515"</f>
        <v>460035199210031515</v>
      </c>
      <c r="D2075" t="str">
        <f>"248030201815"</f>
        <v>248030201815</v>
      </c>
      <c r="L2075">
        <v>2818</v>
      </c>
      <c r="M2075" t="s">
        <v>2738</v>
      </c>
      <c r="N2075" t="str">
        <f>"248030201815"</f>
        <v>248030201815</v>
      </c>
      <c r="O2075" t="str">
        <f>"460035199210031515"</f>
        <v>460035199210031515</v>
      </c>
    </row>
    <row r="2076" customFormat="1" spans="1:15">
      <c r="A2076">
        <v>2819</v>
      </c>
      <c r="B2076" t="s">
        <v>2739</v>
      </c>
      <c r="C2076" t="str">
        <f>"460022199207083726"</f>
        <v>460022199207083726</v>
      </c>
      <c r="D2076" t="str">
        <f>"248030100418"</f>
        <v>248030100418</v>
      </c>
      <c r="L2076">
        <v>2819</v>
      </c>
      <c r="M2076" t="s">
        <v>2739</v>
      </c>
      <c r="N2076" t="str">
        <f>"248030100418"</f>
        <v>248030100418</v>
      </c>
      <c r="O2076" t="str">
        <f>"460022199207083726"</f>
        <v>460022199207083726</v>
      </c>
    </row>
    <row r="2077" customFormat="1" spans="1:15">
      <c r="A2077">
        <v>2820</v>
      </c>
      <c r="B2077" t="s">
        <v>2740</v>
      </c>
      <c r="C2077" t="str">
        <f>"460027199601193722"</f>
        <v>460027199601193722</v>
      </c>
      <c r="D2077" t="str">
        <f>"248030102703"</f>
        <v>248030102703</v>
      </c>
      <c r="L2077">
        <v>2820</v>
      </c>
      <c r="M2077" t="s">
        <v>2740</v>
      </c>
      <c r="N2077" t="str">
        <f>"248030102703"</f>
        <v>248030102703</v>
      </c>
      <c r="O2077" t="str">
        <f>"460027199601193722"</f>
        <v>460027199601193722</v>
      </c>
    </row>
    <row r="2078" customFormat="1" spans="1:15">
      <c r="A2078">
        <v>2821</v>
      </c>
      <c r="B2078" t="s">
        <v>2741</v>
      </c>
      <c r="C2078" t="str">
        <f>"460003199610033447"</f>
        <v>460003199610033447</v>
      </c>
      <c r="D2078" t="str">
        <f>"248030501906"</f>
        <v>248030501906</v>
      </c>
      <c r="L2078">
        <v>2821</v>
      </c>
      <c r="M2078" t="s">
        <v>2741</v>
      </c>
      <c r="N2078" t="str">
        <f>"248030501906"</f>
        <v>248030501906</v>
      </c>
      <c r="O2078" t="str">
        <f>"460003199610033447"</f>
        <v>460003199610033447</v>
      </c>
    </row>
    <row r="2079" customFormat="1" spans="1:15">
      <c r="A2079">
        <v>2822</v>
      </c>
      <c r="B2079" t="s">
        <v>2742</v>
      </c>
      <c r="C2079" t="str">
        <f>"460107200112053425"</f>
        <v>460107200112053425</v>
      </c>
      <c r="D2079" t="str">
        <f>"248030300820"</f>
        <v>248030300820</v>
      </c>
      <c r="L2079">
        <v>2822</v>
      </c>
      <c r="M2079" t="s">
        <v>2742</v>
      </c>
      <c r="N2079" t="str">
        <f>"248030300820"</f>
        <v>248030300820</v>
      </c>
      <c r="O2079" t="str">
        <f>"460107200112053425"</f>
        <v>460107200112053425</v>
      </c>
    </row>
    <row r="2080" customFormat="1" spans="1:15">
      <c r="A2080">
        <v>2823</v>
      </c>
      <c r="B2080" t="s">
        <v>2743</v>
      </c>
      <c r="C2080" t="str">
        <f>"460004200001164021"</f>
        <v>460004200001164021</v>
      </c>
      <c r="D2080" t="str">
        <f>"248030102202"</f>
        <v>248030102202</v>
      </c>
      <c r="L2080">
        <v>2823</v>
      </c>
      <c r="M2080" t="s">
        <v>2743</v>
      </c>
      <c r="N2080" t="str">
        <f>"248030102202"</f>
        <v>248030102202</v>
      </c>
      <c r="O2080" t="str">
        <f>"460004200001164021"</f>
        <v>460004200001164021</v>
      </c>
    </row>
    <row r="2081" customFormat="1" spans="1:15">
      <c r="A2081">
        <v>2824</v>
      </c>
      <c r="B2081" t="s">
        <v>2744</v>
      </c>
      <c r="C2081" t="str">
        <f>"460034199907052424"</f>
        <v>460034199907052424</v>
      </c>
      <c r="D2081" t="str">
        <f>"248030503810"</f>
        <v>248030503810</v>
      </c>
      <c r="L2081">
        <v>2824</v>
      </c>
      <c r="M2081" t="s">
        <v>2744</v>
      </c>
      <c r="N2081" t="str">
        <f>"248030503810"</f>
        <v>248030503810</v>
      </c>
      <c r="O2081" t="str">
        <f>"460034199907052424"</f>
        <v>460034199907052424</v>
      </c>
    </row>
    <row r="2082" customFormat="1" spans="1:15">
      <c r="A2082">
        <v>2825</v>
      </c>
      <c r="B2082" t="s">
        <v>2745</v>
      </c>
      <c r="C2082" t="str">
        <f>"460034199904255322"</f>
        <v>460034199904255322</v>
      </c>
      <c r="D2082" t="str">
        <f>"248030501021"</f>
        <v>248030501021</v>
      </c>
      <c r="L2082">
        <v>2825</v>
      </c>
      <c r="M2082" t="s">
        <v>2745</v>
      </c>
      <c r="N2082" t="str">
        <f>"248030501021"</f>
        <v>248030501021</v>
      </c>
      <c r="O2082" t="str">
        <f>"460034199904255322"</f>
        <v>460034199904255322</v>
      </c>
    </row>
    <row r="2083" customFormat="1" spans="1:15">
      <c r="A2083">
        <v>2826</v>
      </c>
      <c r="B2083" t="s">
        <v>2746</v>
      </c>
      <c r="C2083" t="str">
        <f>"469007200004107628"</f>
        <v>469007200004107628</v>
      </c>
      <c r="D2083" t="str">
        <f>"248030101206"</f>
        <v>248030101206</v>
      </c>
      <c r="L2083">
        <v>2826</v>
      </c>
      <c r="M2083" t="s">
        <v>2746</v>
      </c>
      <c r="N2083" t="str">
        <f>"248030101206"</f>
        <v>248030101206</v>
      </c>
      <c r="O2083" t="str">
        <f>"469007200004107628"</f>
        <v>469007200004107628</v>
      </c>
    </row>
    <row r="2084" customFormat="1" spans="1:15">
      <c r="A2084">
        <v>2827</v>
      </c>
      <c r="B2084" t="s">
        <v>2747</v>
      </c>
      <c r="C2084" t="str">
        <f>"460007199407094960"</f>
        <v>460007199407094960</v>
      </c>
      <c r="D2084" t="str">
        <f>"248030103228"</f>
        <v>248030103228</v>
      </c>
      <c r="L2084">
        <v>2827</v>
      </c>
      <c r="M2084" t="s">
        <v>2747</v>
      </c>
      <c r="N2084" t="str">
        <f>"248030103228"</f>
        <v>248030103228</v>
      </c>
      <c r="O2084" t="str">
        <f>"460007199407094960"</f>
        <v>460007199407094960</v>
      </c>
    </row>
    <row r="2085" customFormat="1" spans="1:15">
      <c r="A2085">
        <v>2828</v>
      </c>
      <c r="B2085" t="s">
        <v>2748</v>
      </c>
      <c r="C2085" t="str">
        <f>"460004199204055428"</f>
        <v>460004199204055428</v>
      </c>
      <c r="D2085" t="str">
        <f>"248030200224"</f>
        <v>248030200224</v>
      </c>
      <c r="L2085">
        <v>2828</v>
      </c>
      <c r="M2085" t="s">
        <v>2748</v>
      </c>
      <c r="N2085" t="str">
        <f>"248030200224"</f>
        <v>248030200224</v>
      </c>
      <c r="O2085" t="str">
        <f>"460004199204055428"</f>
        <v>460004199204055428</v>
      </c>
    </row>
    <row r="2086" customFormat="1" spans="1:15">
      <c r="A2086">
        <v>2829</v>
      </c>
      <c r="B2086" t="s">
        <v>2749</v>
      </c>
      <c r="C2086" t="str">
        <f>"460027199204106226"</f>
        <v>460027199204106226</v>
      </c>
      <c r="L2086">
        <v>2829</v>
      </c>
      <c r="M2086" t="s">
        <v>2749</v>
      </c>
      <c r="O2086" t="str">
        <f>"460027199204106226"</f>
        <v>460027199204106226</v>
      </c>
    </row>
    <row r="2087" customFormat="1" spans="1:15">
      <c r="A2087">
        <v>2830</v>
      </c>
      <c r="B2087" t="s">
        <v>2750</v>
      </c>
      <c r="C2087" t="str">
        <f>"460027200003010020"</f>
        <v>460027200003010020</v>
      </c>
      <c r="D2087" t="str">
        <f>"248030400518"</f>
        <v>248030400518</v>
      </c>
      <c r="L2087">
        <v>2830</v>
      </c>
      <c r="M2087" t="s">
        <v>2750</v>
      </c>
      <c r="N2087" t="str">
        <f>"248030400518"</f>
        <v>248030400518</v>
      </c>
      <c r="O2087" t="str">
        <f>"460027200003010020"</f>
        <v>460027200003010020</v>
      </c>
    </row>
    <row r="2088" customFormat="1" spans="1:15">
      <c r="A2088">
        <v>2831</v>
      </c>
      <c r="B2088" t="s">
        <v>2751</v>
      </c>
      <c r="C2088" t="str">
        <f>"460027199804271727"</f>
        <v>460027199804271727</v>
      </c>
      <c r="D2088" t="str">
        <f>"248030400421"</f>
        <v>248030400421</v>
      </c>
      <c r="L2088">
        <v>2831</v>
      </c>
      <c r="M2088" t="s">
        <v>2751</v>
      </c>
      <c r="N2088" t="str">
        <f>"248030400421"</f>
        <v>248030400421</v>
      </c>
      <c r="O2088" t="str">
        <f>"460027199804271727"</f>
        <v>460027199804271727</v>
      </c>
    </row>
    <row r="2089" customFormat="1" spans="1:15">
      <c r="A2089">
        <v>2834</v>
      </c>
      <c r="B2089" t="s">
        <v>2752</v>
      </c>
      <c r="C2089" t="str">
        <f>"469006200209022322"</f>
        <v>469006200209022322</v>
      </c>
      <c r="D2089" t="str">
        <f>"248030200815"</f>
        <v>248030200815</v>
      </c>
      <c r="L2089">
        <v>2834</v>
      </c>
      <c r="M2089" t="s">
        <v>2752</v>
      </c>
      <c r="N2089" t="str">
        <f>"248030200815"</f>
        <v>248030200815</v>
      </c>
      <c r="O2089" t="str">
        <f>"469006200209022322"</f>
        <v>469006200209022322</v>
      </c>
    </row>
    <row r="2090" customFormat="1" spans="1:15">
      <c r="A2090">
        <v>2837</v>
      </c>
      <c r="B2090" t="s">
        <v>2753</v>
      </c>
      <c r="C2090" t="str">
        <f>"460028200003262822"</f>
        <v>460028200003262822</v>
      </c>
      <c r="L2090">
        <v>2837</v>
      </c>
      <c r="M2090" t="s">
        <v>2753</v>
      </c>
      <c r="O2090" t="str">
        <f>"460028200003262822"</f>
        <v>460028200003262822</v>
      </c>
    </row>
    <row r="2091" customFormat="1" spans="1:15">
      <c r="A2091">
        <v>2838</v>
      </c>
      <c r="B2091" t="s">
        <v>2754</v>
      </c>
      <c r="C2091" t="str">
        <f>"469003200104203726"</f>
        <v>469003200104203726</v>
      </c>
      <c r="D2091" t="str">
        <f>"248030202216"</f>
        <v>248030202216</v>
      </c>
      <c r="L2091">
        <v>2838</v>
      </c>
      <c r="M2091" t="s">
        <v>2754</v>
      </c>
      <c r="N2091" t="str">
        <f>"248030202216"</f>
        <v>248030202216</v>
      </c>
      <c r="O2091" t="str">
        <f>"469003200104203726"</f>
        <v>469003200104203726</v>
      </c>
    </row>
    <row r="2092" customFormat="1" spans="1:15">
      <c r="A2092">
        <v>2840</v>
      </c>
      <c r="B2092" t="s">
        <v>2755</v>
      </c>
      <c r="C2092" t="str">
        <f>"460031199911073210"</f>
        <v>460031199911073210</v>
      </c>
      <c r="D2092" t="str">
        <f>"248030105001"</f>
        <v>248030105001</v>
      </c>
      <c r="L2092">
        <v>2840</v>
      </c>
      <c r="M2092" t="s">
        <v>2755</v>
      </c>
      <c r="N2092" t="str">
        <f>"248030105001"</f>
        <v>248030105001</v>
      </c>
      <c r="O2092" t="str">
        <f>"460031199911073210"</f>
        <v>460031199911073210</v>
      </c>
    </row>
    <row r="2093" customFormat="1" spans="1:15">
      <c r="A2093">
        <v>2841</v>
      </c>
      <c r="B2093" t="s">
        <v>2756</v>
      </c>
      <c r="C2093" t="str">
        <f>"460104200006101228"</f>
        <v>460104200006101228</v>
      </c>
      <c r="D2093" t="str">
        <f>"248030500912"</f>
        <v>248030500912</v>
      </c>
      <c r="L2093">
        <v>2841</v>
      </c>
      <c r="M2093" t="s">
        <v>2756</v>
      </c>
      <c r="N2093" t="str">
        <f>"248030500912"</f>
        <v>248030500912</v>
      </c>
      <c r="O2093" t="str">
        <f>"460104200006101228"</f>
        <v>460104200006101228</v>
      </c>
    </row>
    <row r="2094" customFormat="1" spans="1:15">
      <c r="A2094">
        <v>2842</v>
      </c>
      <c r="B2094" t="s">
        <v>2757</v>
      </c>
      <c r="C2094" t="str">
        <f>"460106200103040829"</f>
        <v>460106200103040829</v>
      </c>
      <c r="D2094" t="str">
        <f>"248030503315"</f>
        <v>248030503315</v>
      </c>
      <c r="L2094">
        <v>2842</v>
      </c>
      <c r="M2094" t="s">
        <v>2757</v>
      </c>
      <c r="N2094" t="str">
        <f>"248030503315"</f>
        <v>248030503315</v>
      </c>
      <c r="O2094" t="str">
        <f>"460106200103040829"</f>
        <v>460106200103040829</v>
      </c>
    </row>
    <row r="2095" customFormat="1" spans="1:15">
      <c r="A2095">
        <v>2843</v>
      </c>
      <c r="B2095" t="s">
        <v>2758</v>
      </c>
      <c r="C2095" t="str">
        <f>"46002719880725731X"</f>
        <v>46002719880725731X</v>
      </c>
      <c r="D2095" t="str">
        <f>"248030202405"</f>
        <v>248030202405</v>
      </c>
      <c r="L2095">
        <v>2843</v>
      </c>
      <c r="M2095" t="s">
        <v>2758</v>
      </c>
      <c r="N2095" t="str">
        <f>"248030202405"</f>
        <v>248030202405</v>
      </c>
      <c r="O2095" t="str">
        <f>"46002719880725731X"</f>
        <v>46002719880725731X</v>
      </c>
    </row>
    <row r="2096" customFormat="1" spans="1:15">
      <c r="A2096">
        <v>2844</v>
      </c>
      <c r="B2096" t="s">
        <v>2759</v>
      </c>
      <c r="C2096" t="str">
        <f>"460004199504252220"</f>
        <v>460004199504252220</v>
      </c>
      <c r="D2096" t="str">
        <f>"248030400230"</f>
        <v>248030400230</v>
      </c>
      <c r="L2096">
        <v>2844</v>
      </c>
      <c r="M2096" t="s">
        <v>2759</v>
      </c>
      <c r="N2096" t="str">
        <f>"248030400230"</f>
        <v>248030400230</v>
      </c>
      <c r="O2096" t="str">
        <f>"460004199504252220"</f>
        <v>460004199504252220</v>
      </c>
    </row>
    <row r="2097" customFormat="1" spans="1:15">
      <c r="A2097">
        <v>2845</v>
      </c>
      <c r="B2097" t="s">
        <v>2760</v>
      </c>
      <c r="C2097" t="str">
        <f>"460033199902153246"</f>
        <v>460033199902153246</v>
      </c>
      <c r="L2097">
        <v>2845</v>
      </c>
      <c r="M2097" t="s">
        <v>2760</v>
      </c>
      <c r="O2097" t="str">
        <f>"460033199902153246"</f>
        <v>460033199902153246</v>
      </c>
    </row>
    <row r="2098" customFormat="1" spans="1:15">
      <c r="A2098">
        <v>2846</v>
      </c>
      <c r="B2098" t="s">
        <v>2761</v>
      </c>
      <c r="C2098" t="str">
        <f>"460006200110281625"</f>
        <v>460006200110281625</v>
      </c>
      <c r="D2098" t="str">
        <f>"248030503918"</f>
        <v>248030503918</v>
      </c>
      <c r="L2098">
        <v>2846</v>
      </c>
      <c r="M2098" t="s">
        <v>2761</v>
      </c>
      <c r="N2098" t="str">
        <f>"248030503918"</f>
        <v>248030503918</v>
      </c>
      <c r="O2098" t="str">
        <f>"460006200110281625"</f>
        <v>460006200110281625</v>
      </c>
    </row>
    <row r="2099" customFormat="1" spans="1:15">
      <c r="A2099">
        <v>2849</v>
      </c>
      <c r="B2099" t="s">
        <v>2762</v>
      </c>
      <c r="C2099" t="str">
        <f>"460102199309213325"</f>
        <v>460102199309213325</v>
      </c>
      <c r="D2099" t="str">
        <f>"248030300417"</f>
        <v>248030300417</v>
      </c>
      <c r="L2099">
        <v>2849</v>
      </c>
      <c r="M2099" t="s">
        <v>2762</v>
      </c>
      <c r="N2099" t="str">
        <f>"248030300417"</f>
        <v>248030300417</v>
      </c>
      <c r="O2099" t="str">
        <f>"460102199309213325"</f>
        <v>460102199309213325</v>
      </c>
    </row>
    <row r="2100" customFormat="1" spans="1:15">
      <c r="A2100">
        <v>2852</v>
      </c>
      <c r="B2100" t="s">
        <v>2763</v>
      </c>
      <c r="C2100" t="str">
        <f>"232325198811041661"</f>
        <v>232325198811041661</v>
      </c>
      <c r="L2100">
        <v>2852</v>
      </c>
      <c r="M2100" t="s">
        <v>2763</v>
      </c>
      <c r="O2100" t="str">
        <f>"232325198811041661"</f>
        <v>232325198811041661</v>
      </c>
    </row>
    <row r="2101" customFormat="1" spans="1:15">
      <c r="A2101">
        <v>2853</v>
      </c>
      <c r="B2101" t="s">
        <v>2764</v>
      </c>
      <c r="C2101" t="str">
        <f>"46010219950515182X"</f>
        <v>46010219950515182X</v>
      </c>
      <c r="D2101" t="str">
        <f>"248030402127"</f>
        <v>248030402127</v>
      </c>
      <c r="L2101">
        <v>2853</v>
      </c>
      <c r="M2101" t="s">
        <v>2764</v>
      </c>
      <c r="N2101" t="str">
        <f>"248030402127"</f>
        <v>248030402127</v>
      </c>
      <c r="O2101" t="str">
        <f>"46010219950515182X"</f>
        <v>46010219950515182X</v>
      </c>
    </row>
    <row r="2102" customFormat="1" spans="1:15">
      <c r="A2102">
        <v>2854</v>
      </c>
      <c r="B2102" t="s">
        <v>2765</v>
      </c>
      <c r="C2102" t="str">
        <f>"130432198901130389"</f>
        <v>130432198901130389</v>
      </c>
      <c r="D2102" t="str">
        <f>"248030104805"</f>
        <v>248030104805</v>
      </c>
      <c r="L2102">
        <v>2854</v>
      </c>
      <c r="M2102" t="s">
        <v>2765</v>
      </c>
      <c r="N2102" t="str">
        <f>"248030104805"</f>
        <v>248030104805</v>
      </c>
      <c r="O2102" t="str">
        <f>"130432198901130389"</f>
        <v>130432198901130389</v>
      </c>
    </row>
    <row r="2103" customFormat="1" spans="1:15">
      <c r="A2103">
        <v>2855</v>
      </c>
      <c r="B2103" t="s">
        <v>2330</v>
      </c>
      <c r="C2103" t="str">
        <f>"460028199805043220"</f>
        <v>460028199805043220</v>
      </c>
      <c r="D2103" t="str">
        <f>"248030400309"</f>
        <v>248030400309</v>
      </c>
      <c r="L2103">
        <v>2855</v>
      </c>
      <c r="M2103" t="s">
        <v>2330</v>
      </c>
      <c r="N2103" t="str">
        <f>"248030400309"</f>
        <v>248030400309</v>
      </c>
      <c r="O2103" t="str">
        <f>"460028199805043220"</f>
        <v>460028199805043220</v>
      </c>
    </row>
    <row r="2104" customFormat="1" spans="1:15">
      <c r="A2104">
        <v>2857</v>
      </c>
      <c r="B2104" t="s">
        <v>2766</v>
      </c>
      <c r="C2104" t="str">
        <f>"460002199907200043"</f>
        <v>460002199907200043</v>
      </c>
      <c r="D2104" t="str">
        <f>"248030203325"</f>
        <v>248030203325</v>
      </c>
      <c r="L2104">
        <v>2857</v>
      </c>
      <c r="M2104" t="s">
        <v>2766</v>
      </c>
      <c r="N2104" t="str">
        <f>"248030203325"</f>
        <v>248030203325</v>
      </c>
      <c r="O2104" t="str">
        <f>"460002199907200043"</f>
        <v>460002199907200043</v>
      </c>
    </row>
    <row r="2105" customFormat="1" spans="1:15">
      <c r="A2105">
        <v>2858</v>
      </c>
      <c r="B2105" t="s">
        <v>2767</v>
      </c>
      <c r="C2105" t="str">
        <f>"362322198612168424"</f>
        <v>362322198612168424</v>
      </c>
      <c r="D2105" t="str">
        <f>"248030101418"</f>
        <v>248030101418</v>
      </c>
      <c r="L2105">
        <v>2858</v>
      </c>
      <c r="M2105" t="s">
        <v>2767</v>
      </c>
      <c r="N2105" t="str">
        <f>"248030101418"</f>
        <v>248030101418</v>
      </c>
      <c r="O2105" t="str">
        <f>"362322198612168424"</f>
        <v>362322198612168424</v>
      </c>
    </row>
    <row r="2106" customFormat="1" spans="1:15">
      <c r="A2106">
        <v>2859</v>
      </c>
      <c r="B2106" t="s">
        <v>2768</v>
      </c>
      <c r="C2106" t="str">
        <f>"460035199210191527"</f>
        <v>460035199210191527</v>
      </c>
      <c r="L2106">
        <v>2859</v>
      </c>
      <c r="M2106" t="s">
        <v>2768</v>
      </c>
      <c r="O2106" t="str">
        <f>"460035199210191527"</f>
        <v>460035199210191527</v>
      </c>
    </row>
    <row r="2107" customFormat="1" spans="1:15">
      <c r="A2107">
        <v>2862</v>
      </c>
      <c r="B2107" t="s">
        <v>2769</v>
      </c>
      <c r="C2107" t="str">
        <f>"460006199903271616"</f>
        <v>460006199903271616</v>
      </c>
      <c r="L2107">
        <v>2862</v>
      </c>
      <c r="M2107" t="s">
        <v>2769</v>
      </c>
      <c r="O2107" t="str">
        <f>"460006199903271616"</f>
        <v>460006199903271616</v>
      </c>
    </row>
    <row r="2108" customFormat="1" spans="1:15">
      <c r="A2108">
        <v>2864</v>
      </c>
      <c r="B2108" t="s">
        <v>579</v>
      </c>
      <c r="C2108" t="str">
        <f>"460006200107082721"</f>
        <v>460006200107082721</v>
      </c>
      <c r="D2108" t="str">
        <f>"248030501220"</f>
        <v>248030501220</v>
      </c>
      <c r="L2108">
        <v>2864</v>
      </c>
      <c r="M2108" t="s">
        <v>579</v>
      </c>
      <c r="N2108" t="str">
        <f>"248030501220"</f>
        <v>248030501220</v>
      </c>
      <c r="O2108" t="str">
        <f>"460006200107082721"</f>
        <v>460006200107082721</v>
      </c>
    </row>
    <row r="2109" customFormat="1" spans="1:15">
      <c r="A2109">
        <v>2865</v>
      </c>
      <c r="B2109" t="s">
        <v>12</v>
      </c>
      <c r="C2109" t="str">
        <f>"142323198503114035"</f>
        <v>142323198503114035</v>
      </c>
      <c r="D2109" t="str">
        <f>"248030400327"</f>
        <v>248030400327</v>
      </c>
      <c r="L2109">
        <v>2865</v>
      </c>
      <c r="M2109" t="s">
        <v>12</v>
      </c>
      <c r="N2109" t="str">
        <f>"248030400327"</f>
        <v>248030400327</v>
      </c>
      <c r="O2109" t="str">
        <f>"142323198503114035"</f>
        <v>142323198503114035</v>
      </c>
    </row>
    <row r="2110" customFormat="1" spans="1:15">
      <c r="A2110">
        <v>2866</v>
      </c>
      <c r="B2110" t="s">
        <v>2770</v>
      </c>
      <c r="C2110" t="str">
        <f>"460004200202061424"</f>
        <v>460004200202061424</v>
      </c>
      <c r="D2110" t="str">
        <f>"248030503702"</f>
        <v>248030503702</v>
      </c>
      <c r="L2110">
        <v>2866</v>
      </c>
      <c r="M2110" t="s">
        <v>2770</v>
      </c>
      <c r="N2110" t="str">
        <f>"248030503702"</f>
        <v>248030503702</v>
      </c>
      <c r="O2110" t="str">
        <f>"460004200202061424"</f>
        <v>460004200202061424</v>
      </c>
    </row>
    <row r="2111" customFormat="1" spans="1:15">
      <c r="A2111">
        <v>2867</v>
      </c>
      <c r="B2111" t="s">
        <v>2771</v>
      </c>
      <c r="C2111" t="str">
        <f>"530424198901091812"</f>
        <v>530424198901091812</v>
      </c>
      <c r="D2111" t="str">
        <f>"248030201129"</f>
        <v>248030201129</v>
      </c>
      <c r="L2111">
        <v>2867</v>
      </c>
      <c r="M2111" t="s">
        <v>2771</v>
      </c>
      <c r="N2111" t="str">
        <f>"248030201129"</f>
        <v>248030201129</v>
      </c>
      <c r="O2111" t="str">
        <f>"530424198901091812"</f>
        <v>530424198901091812</v>
      </c>
    </row>
    <row r="2112" customFormat="1" spans="1:15">
      <c r="A2112">
        <v>2869</v>
      </c>
      <c r="B2112" t="s">
        <v>2772</v>
      </c>
      <c r="C2112" t="str">
        <f>"469023200004010623"</f>
        <v>469023200004010623</v>
      </c>
      <c r="L2112">
        <v>2869</v>
      </c>
      <c r="M2112" t="s">
        <v>2772</v>
      </c>
      <c r="O2112" t="str">
        <f>"469023200004010623"</f>
        <v>469023200004010623</v>
      </c>
    </row>
    <row r="2113" customFormat="1" spans="1:15">
      <c r="A2113">
        <v>2870</v>
      </c>
      <c r="B2113" t="s">
        <v>2773</v>
      </c>
      <c r="C2113" t="str">
        <f>"460003199003053446"</f>
        <v>460003199003053446</v>
      </c>
      <c r="D2113" t="str">
        <f>"248030301002"</f>
        <v>248030301002</v>
      </c>
      <c r="L2113">
        <v>2870</v>
      </c>
      <c r="M2113" t="s">
        <v>2773</v>
      </c>
      <c r="N2113" t="str">
        <f>"248030301002"</f>
        <v>248030301002</v>
      </c>
      <c r="O2113" t="str">
        <f>"460003199003053446"</f>
        <v>460003199003053446</v>
      </c>
    </row>
    <row r="2114" customFormat="1" spans="1:15">
      <c r="A2114">
        <v>2872</v>
      </c>
      <c r="B2114" t="s">
        <v>2774</v>
      </c>
      <c r="C2114" t="str">
        <f>"440923199006213725"</f>
        <v>440923199006213725</v>
      </c>
      <c r="L2114">
        <v>2872</v>
      </c>
      <c r="M2114" t="s">
        <v>2774</v>
      </c>
      <c r="O2114" t="str">
        <f>"440923199006213725"</f>
        <v>440923199006213725</v>
      </c>
    </row>
    <row r="2115" customFormat="1" spans="1:15">
      <c r="A2115">
        <v>2873</v>
      </c>
      <c r="B2115" t="s">
        <v>2775</v>
      </c>
      <c r="C2115" t="str">
        <f>"460005199911151925"</f>
        <v>460005199911151925</v>
      </c>
      <c r="D2115" t="str">
        <f>"248030203827"</f>
        <v>248030203827</v>
      </c>
      <c r="L2115">
        <v>2873</v>
      </c>
      <c r="M2115" t="s">
        <v>2775</v>
      </c>
      <c r="N2115" t="str">
        <f>"248030203827"</f>
        <v>248030203827</v>
      </c>
      <c r="O2115" t="str">
        <f>"460005199911151925"</f>
        <v>460005199911151925</v>
      </c>
    </row>
    <row r="2116" customFormat="1" spans="1:15">
      <c r="A2116">
        <v>2875</v>
      </c>
      <c r="B2116" t="s">
        <v>2776</v>
      </c>
      <c r="C2116" t="str">
        <f>"230903199005110842"</f>
        <v>230903199005110842</v>
      </c>
      <c r="D2116" t="str">
        <f>"248030503410"</f>
        <v>248030503410</v>
      </c>
      <c r="L2116">
        <v>2875</v>
      </c>
      <c r="M2116" t="s">
        <v>2776</v>
      </c>
      <c r="N2116" t="str">
        <f>"248030503410"</f>
        <v>248030503410</v>
      </c>
      <c r="O2116" t="str">
        <f>"230903199005110842"</f>
        <v>230903199005110842</v>
      </c>
    </row>
    <row r="2117" customFormat="1" spans="1:15">
      <c r="A2117">
        <v>2876</v>
      </c>
      <c r="B2117" t="s">
        <v>2777</v>
      </c>
      <c r="C2117" t="str">
        <f>"431202199009107660"</f>
        <v>431202199009107660</v>
      </c>
      <c r="D2117" t="str">
        <f>"248030202813"</f>
        <v>248030202813</v>
      </c>
      <c r="L2117">
        <v>2876</v>
      </c>
      <c r="M2117" t="s">
        <v>2777</v>
      </c>
      <c r="N2117" t="str">
        <f>"248030202813"</f>
        <v>248030202813</v>
      </c>
      <c r="O2117" t="str">
        <f>"431202199009107660"</f>
        <v>431202199009107660</v>
      </c>
    </row>
    <row r="2118" customFormat="1" spans="1:15">
      <c r="A2118">
        <v>2877</v>
      </c>
      <c r="B2118" t="s">
        <v>2778</v>
      </c>
      <c r="C2118" t="str">
        <f>"340703199906290515"</f>
        <v>340703199906290515</v>
      </c>
      <c r="L2118">
        <v>2877</v>
      </c>
      <c r="M2118" t="s">
        <v>2778</v>
      </c>
      <c r="O2118" t="str">
        <f>"340703199906290515"</f>
        <v>340703199906290515</v>
      </c>
    </row>
    <row r="2119" customFormat="1" spans="1:15">
      <c r="A2119">
        <v>2881</v>
      </c>
      <c r="B2119" t="s">
        <v>2779</v>
      </c>
      <c r="C2119" t="str">
        <f>"460022199308262520"</f>
        <v>460022199308262520</v>
      </c>
      <c r="L2119">
        <v>2881</v>
      </c>
      <c r="M2119" t="s">
        <v>2779</v>
      </c>
      <c r="O2119" t="str">
        <f>"460022199308262520"</f>
        <v>460022199308262520</v>
      </c>
    </row>
    <row r="2120" customFormat="1" spans="1:15">
      <c r="A2120">
        <v>2882</v>
      </c>
      <c r="B2120" t="s">
        <v>2780</v>
      </c>
      <c r="C2120" t="str">
        <f>"360521199410138072"</f>
        <v>360521199410138072</v>
      </c>
      <c r="D2120" t="str">
        <f>"248030401112"</f>
        <v>248030401112</v>
      </c>
      <c r="L2120">
        <v>2882</v>
      </c>
      <c r="M2120" t="s">
        <v>2780</v>
      </c>
      <c r="N2120" t="str">
        <f>"248030401112"</f>
        <v>248030401112</v>
      </c>
      <c r="O2120" t="str">
        <f>"360521199410138072"</f>
        <v>360521199410138072</v>
      </c>
    </row>
    <row r="2121" customFormat="1" spans="1:15">
      <c r="A2121">
        <v>2883</v>
      </c>
      <c r="B2121" t="s">
        <v>2781</v>
      </c>
      <c r="C2121" t="str">
        <f>"460033199508234486"</f>
        <v>460033199508234486</v>
      </c>
      <c r="D2121" t="str">
        <f>"248030401313"</f>
        <v>248030401313</v>
      </c>
      <c r="L2121">
        <v>2883</v>
      </c>
      <c r="M2121" t="s">
        <v>2781</v>
      </c>
      <c r="N2121" t="str">
        <f>"248030401313"</f>
        <v>248030401313</v>
      </c>
      <c r="O2121" t="str">
        <f>"460033199508234486"</f>
        <v>460033199508234486</v>
      </c>
    </row>
    <row r="2122" customFormat="1" spans="1:15">
      <c r="A2122">
        <v>2884</v>
      </c>
      <c r="B2122" t="s">
        <v>2782</v>
      </c>
      <c r="C2122" t="str">
        <f>"460003200103185425"</f>
        <v>460003200103185425</v>
      </c>
      <c r="D2122" t="str">
        <f>"248030103922"</f>
        <v>248030103922</v>
      </c>
      <c r="L2122">
        <v>2884</v>
      </c>
      <c r="M2122" t="s">
        <v>2782</v>
      </c>
      <c r="N2122" t="str">
        <f>"248030103922"</f>
        <v>248030103922</v>
      </c>
      <c r="O2122" t="str">
        <f>"460003200103185425"</f>
        <v>460003200103185425</v>
      </c>
    </row>
    <row r="2123" customFormat="1" spans="1:15">
      <c r="A2123">
        <v>2888</v>
      </c>
      <c r="B2123" t="s">
        <v>2783</v>
      </c>
      <c r="C2123" t="str">
        <f>"460003200101204223"</f>
        <v>460003200101204223</v>
      </c>
      <c r="D2123" t="str">
        <f>"248030301122"</f>
        <v>248030301122</v>
      </c>
      <c r="L2123">
        <v>2888</v>
      </c>
      <c r="M2123" t="s">
        <v>2783</v>
      </c>
      <c r="N2123" t="str">
        <f>"248030301122"</f>
        <v>248030301122</v>
      </c>
      <c r="O2123" t="str">
        <f>"460003200101204223"</f>
        <v>460003200101204223</v>
      </c>
    </row>
    <row r="2124" customFormat="1" spans="1:15">
      <c r="A2124">
        <v>2890</v>
      </c>
      <c r="B2124" t="s">
        <v>2784</v>
      </c>
      <c r="C2124" t="str">
        <f>"371482199010032324"</f>
        <v>371482199010032324</v>
      </c>
      <c r="D2124" t="str">
        <f>"248030104828"</f>
        <v>248030104828</v>
      </c>
      <c r="L2124">
        <v>2890</v>
      </c>
      <c r="M2124" t="s">
        <v>2784</v>
      </c>
      <c r="N2124" t="str">
        <f>"248030104828"</f>
        <v>248030104828</v>
      </c>
      <c r="O2124" t="str">
        <f>"371482199010032324"</f>
        <v>371482199010032324</v>
      </c>
    </row>
    <row r="2125" customFormat="1" spans="1:15">
      <c r="A2125">
        <v>2891</v>
      </c>
      <c r="B2125" t="s">
        <v>197</v>
      </c>
      <c r="C2125" t="str">
        <f>"230523199412295243"</f>
        <v>230523199412295243</v>
      </c>
      <c r="D2125" t="str">
        <f>"248030101410"</f>
        <v>248030101410</v>
      </c>
      <c r="L2125">
        <v>2891</v>
      </c>
      <c r="M2125" t="s">
        <v>197</v>
      </c>
      <c r="N2125" t="str">
        <f>"248030101410"</f>
        <v>248030101410</v>
      </c>
      <c r="O2125" t="str">
        <f>"230523199412295243"</f>
        <v>230523199412295243</v>
      </c>
    </row>
    <row r="2126" customFormat="1" spans="1:15">
      <c r="A2126">
        <v>2892</v>
      </c>
      <c r="B2126" t="s">
        <v>2785</v>
      </c>
      <c r="C2126" t="str">
        <f>"460106199003154129"</f>
        <v>460106199003154129</v>
      </c>
      <c r="D2126" t="str">
        <f>"248030300620"</f>
        <v>248030300620</v>
      </c>
      <c r="L2126">
        <v>2892</v>
      </c>
      <c r="M2126" t="s">
        <v>2785</v>
      </c>
      <c r="N2126" t="str">
        <f>"248030300620"</f>
        <v>248030300620</v>
      </c>
      <c r="O2126" t="str">
        <f>"460106199003154129"</f>
        <v>460106199003154129</v>
      </c>
    </row>
    <row r="2127" customFormat="1" spans="1:15">
      <c r="A2127">
        <v>2893</v>
      </c>
      <c r="B2127" t="s">
        <v>2786</v>
      </c>
      <c r="C2127" t="str">
        <f>"460004199805165227"</f>
        <v>460004199805165227</v>
      </c>
      <c r="D2127" t="str">
        <f>"248030502914"</f>
        <v>248030502914</v>
      </c>
      <c r="L2127">
        <v>2893</v>
      </c>
      <c r="M2127" t="s">
        <v>2786</v>
      </c>
      <c r="N2127" t="str">
        <f>"248030502914"</f>
        <v>248030502914</v>
      </c>
      <c r="O2127" t="str">
        <f>"460004199805165227"</f>
        <v>460004199805165227</v>
      </c>
    </row>
    <row r="2128" customFormat="1" spans="1:15">
      <c r="A2128">
        <v>2894</v>
      </c>
      <c r="B2128" t="s">
        <v>2787</v>
      </c>
      <c r="C2128" t="str">
        <f>"441621199810243222"</f>
        <v>441621199810243222</v>
      </c>
      <c r="L2128">
        <v>2894</v>
      </c>
      <c r="M2128" t="s">
        <v>2787</v>
      </c>
      <c r="O2128" t="str">
        <f>"441621199810243222"</f>
        <v>441621199810243222</v>
      </c>
    </row>
    <row r="2129" customFormat="1" spans="1:15">
      <c r="A2129">
        <v>2895</v>
      </c>
      <c r="B2129" t="s">
        <v>2788</v>
      </c>
      <c r="C2129" t="str">
        <f>"460028200202246825"</f>
        <v>460028200202246825</v>
      </c>
      <c r="D2129" t="str">
        <f>"248030503827"</f>
        <v>248030503827</v>
      </c>
      <c r="L2129">
        <v>2895</v>
      </c>
      <c r="M2129" t="s">
        <v>2788</v>
      </c>
      <c r="N2129" t="str">
        <f>"248030503827"</f>
        <v>248030503827</v>
      </c>
      <c r="O2129" t="str">
        <f>"460028200202246825"</f>
        <v>460028200202246825</v>
      </c>
    </row>
    <row r="2130" customFormat="1" spans="1:15">
      <c r="A2130">
        <v>2896</v>
      </c>
      <c r="B2130" t="s">
        <v>2789</v>
      </c>
      <c r="C2130" t="str">
        <f>"460107200203160824"</f>
        <v>460107200203160824</v>
      </c>
      <c r="D2130" t="str">
        <f>"248030300603"</f>
        <v>248030300603</v>
      </c>
      <c r="L2130">
        <v>2896</v>
      </c>
      <c r="M2130" t="s">
        <v>2789</v>
      </c>
      <c r="N2130" t="str">
        <f>"248030300603"</f>
        <v>248030300603</v>
      </c>
      <c r="O2130" t="str">
        <f>"460107200203160824"</f>
        <v>460107200203160824</v>
      </c>
    </row>
    <row r="2131" customFormat="1" spans="1:15">
      <c r="A2131">
        <v>2897</v>
      </c>
      <c r="B2131" t="s">
        <v>2790</v>
      </c>
      <c r="C2131" t="str">
        <f>"469023199609075926"</f>
        <v>469023199609075926</v>
      </c>
      <c r="D2131" t="str">
        <f>"248030404227"</f>
        <v>248030404227</v>
      </c>
      <c r="L2131">
        <v>2897</v>
      </c>
      <c r="M2131" t="s">
        <v>2790</v>
      </c>
      <c r="N2131" t="str">
        <f>"248030404227"</f>
        <v>248030404227</v>
      </c>
      <c r="O2131" t="str">
        <f>"469023199609075926"</f>
        <v>469023199609075926</v>
      </c>
    </row>
    <row r="2132" customFormat="1" spans="1:15">
      <c r="A2132">
        <v>2898</v>
      </c>
      <c r="B2132" t="s">
        <v>2791</v>
      </c>
      <c r="C2132" t="str">
        <f>"46020019920718364X"</f>
        <v>46020019920718364X</v>
      </c>
      <c r="D2132" t="str">
        <f>"248030201001"</f>
        <v>248030201001</v>
      </c>
      <c r="L2132">
        <v>2898</v>
      </c>
      <c r="M2132" t="s">
        <v>2791</v>
      </c>
      <c r="N2132" t="str">
        <f>"248030201001"</f>
        <v>248030201001</v>
      </c>
      <c r="O2132" t="str">
        <f>"46020019920718364X"</f>
        <v>46020019920718364X</v>
      </c>
    </row>
    <row r="2133" customFormat="1" spans="1:15">
      <c r="A2133">
        <v>2899</v>
      </c>
      <c r="B2133" t="s">
        <v>2792</v>
      </c>
      <c r="C2133" t="str">
        <f>"46002820010819562X"</f>
        <v>46002820010819562X</v>
      </c>
      <c r="D2133" t="str">
        <f>"248030503816"</f>
        <v>248030503816</v>
      </c>
      <c r="L2133">
        <v>2899</v>
      </c>
      <c r="M2133" t="s">
        <v>2792</v>
      </c>
      <c r="N2133" t="str">
        <f>"248030503816"</f>
        <v>248030503816</v>
      </c>
      <c r="O2133" t="str">
        <f>"46002820010819562X"</f>
        <v>46002820010819562X</v>
      </c>
    </row>
    <row r="2134" customFormat="1" spans="1:15">
      <c r="A2134">
        <v>2900</v>
      </c>
      <c r="B2134" t="s">
        <v>2793</v>
      </c>
      <c r="C2134" t="str">
        <f>"46002519961218452X"</f>
        <v>46002519961218452X</v>
      </c>
      <c r="D2134" t="str">
        <f>"248030101214"</f>
        <v>248030101214</v>
      </c>
      <c r="L2134">
        <v>2900</v>
      </c>
      <c r="M2134" t="s">
        <v>2793</v>
      </c>
      <c r="N2134" t="str">
        <f>"248030101214"</f>
        <v>248030101214</v>
      </c>
      <c r="O2134" t="str">
        <f>"46002519961218452X"</f>
        <v>46002519961218452X</v>
      </c>
    </row>
    <row r="2135" customFormat="1" spans="1:15">
      <c r="A2135">
        <v>2901</v>
      </c>
      <c r="B2135" t="s">
        <v>284</v>
      </c>
      <c r="C2135" t="str">
        <f>"152326199810284582"</f>
        <v>152326199810284582</v>
      </c>
      <c r="D2135" t="str">
        <f>"248030403516"</f>
        <v>248030403516</v>
      </c>
      <c r="L2135">
        <v>2901</v>
      </c>
      <c r="M2135" t="s">
        <v>284</v>
      </c>
      <c r="N2135" t="str">
        <f>"248030403516"</f>
        <v>248030403516</v>
      </c>
      <c r="O2135" t="str">
        <f>"152326199810284582"</f>
        <v>152326199810284582</v>
      </c>
    </row>
    <row r="2136" customFormat="1" spans="1:15">
      <c r="A2136">
        <v>2902</v>
      </c>
      <c r="B2136" t="s">
        <v>2794</v>
      </c>
      <c r="C2136" t="str">
        <f>"460102199809021549"</f>
        <v>460102199809021549</v>
      </c>
      <c r="D2136" t="str">
        <f>"248030302223"</f>
        <v>248030302223</v>
      </c>
      <c r="L2136">
        <v>2902</v>
      </c>
      <c r="M2136" t="s">
        <v>2794</v>
      </c>
      <c r="N2136" t="str">
        <f>"248030302223"</f>
        <v>248030302223</v>
      </c>
      <c r="O2136" t="str">
        <f>"460102199809021549"</f>
        <v>460102199809021549</v>
      </c>
    </row>
    <row r="2137" customFormat="1" spans="1:15">
      <c r="A2137">
        <v>2903</v>
      </c>
      <c r="B2137" t="s">
        <v>2795</v>
      </c>
      <c r="C2137" t="str">
        <f>"230503200005021114"</f>
        <v>230503200005021114</v>
      </c>
      <c r="D2137" t="str">
        <f>"248030402716"</f>
        <v>248030402716</v>
      </c>
      <c r="L2137">
        <v>2903</v>
      </c>
      <c r="M2137" t="s">
        <v>2795</v>
      </c>
      <c r="N2137" t="str">
        <f>"248030402716"</f>
        <v>248030402716</v>
      </c>
      <c r="O2137" t="str">
        <f>"230503200005021114"</f>
        <v>230503200005021114</v>
      </c>
    </row>
    <row r="2138" customFormat="1" spans="1:15">
      <c r="A2138">
        <v>2904</v>
      </c>
      <c r="B2138" t="s">
        <v>2796</v>
      </c>
      <c r="C2138" t="str">
        <f>"460007199408085847"</f>
        <v>460007199408085847</v>
      </c>
      <c r="D2138" t="str">
        <f>"248030203718"</f>
        <v>248030203718</v>
      </c>
      <c r="L2138">
        <v>2904</v>
      </c>
      <c r="M2138" t="s">
        <v>2796</v>
      </c>
      <c r="N2138" t="str">
        <f>"248030203718"</f>
        <v>248030203718</v>
      </c>
      <c r="O2138" t="str">
        <f>"460007199408085847"</f>
        <v>460007199408085847</v>
      </c>
    </row>
    <row r="2139" customFormat="1" spans="1:15">
      <c r="A2139">
        <v>2905</v>
      </c>
      <c r="B2139" t="s">
        <v>2797</v>
      </c>
      <c r="C2139" t="str">
        <f>"460002198901294910"</f>
        <v>460002198901294910</v>
      </c>
      <c r="D2139" t="str">
        <f>"248030203826"</f>
        <v>248030203826</v>
      </c>
      <c r="L2139">
        <v>2905</v>
      </c>
      <c r="M2139" t="s">
        <v>2797</v>
      </c>
      <c r="N2139" t="str">
        <f>"248030203826"</f>
        <v>248030203826</v>
      </c>
      <c r="O2139" t="str">
        <f>"460002198901294910"</f>
        <v>460002198901294910</v>
      </c>
    </row>
    <row r="2140" customFormat="1" spans="1:15">
      <c r="A2140">
        <v>2906</v>
      </c>
      <c r="B2140" t="s">
        <v>2798</v>
      </c>
      <c r="C2140" t="str">
        <f>"350783200002218026"</f>
        <v>350783200002218026</v>
      </c>
      <c r="L2140">
        <v>2906</v>
      </c>
      <c r="M2140" t="s">
        <v>2798</v>
      </c>
      <c r="O2140" t="str">
        <f>"350783200002218026"</f>
        <v>350783200002218026</v>
      </c>
    </row>
    <row r="2141" customFormat="1" spans="1:15">
      <c r="A2141">
        <v>2907</v>
      </c>
      <c r="B2141" t="s">
        <v>2799</v>
      </c>
      <c r="C2141" t="str">
        <f>"460004200206120428"</f>
        <v>460004200206120428</v>
      </c>
      <c r="D2141" t="str">
        <f>"248030400305"</f>
        <v>248030400305</v>
      </c>
      <c r="L2141">
        <v>2907</v>
      </c>
      <c r="M2141" t="s">
        <v>2799</v>
      </c>
      <c r="N2141" t="str">
        <f>"248030400305"</f>
        <v>248030400305</v>
      </c>
      <c r="O2141" t="str">
        <f>"460004200206120428"</f>
        <v>460004200206120428</v>
      </c>
    </row>
    <row r="2142" customFormat="1" spans="1:15">
      <c r="A2142">
        <v>2908</v>
      </c>
      <c r="B2142" t="s">
        <v>2800</v>
      </c>
      <c r="C2142" t="str">
        <f>"469005200010293524"</f>
        <v>469005200010293524</v>
      </c>
      <c r="D2142" t="str">
        <f>"248030200616"</f>
        <v>248030200616</v>
      </c>
      <c r="L2142">
        <v>2908</v>
      </c>
      <c r="M2142" t="s">
        <v>2800</v>
      </c>
      <c r="N2142" t="str">
        <f>"248030200616"</f>
        <v>248030200616</v>
      </c>
      <c r="O2142" t="str">
        <f>"469005200010293524"</f>
        <v>469005200010293524</v>
      </c>
    </row>
    <row r="2143" customFormat="1" spans="1:15">
      <c r="A2143">
        <v>2910</v>
      </c>
      <c r="B2143" t="s">
        <v>2801</v>
      </c>
      <c r="C2143" t="str">
        <f>"460007199906306286"</f>
        <v>460007199906306286</v>
      </c>
      <c r="D2143" t="str">
        <f>"248030101026"</f>
        <v>248030101026</v>
      </c>
      <c r="L2143">
        <v>2910</v>
      </c>
      <c r="M2143" t="s">
        <v>2801</v>
      </c>
      <c r="N2143" t="str">
        <f>"248030101026"</f>
        <v>248030101026</v>
      </c>
      <c r="O2143" t="str">
        <f>"460007199906306286"</f>
        <v>460007199906306286</v>
      </c>
    </row>
    <row r="2144" customFormat="1" spans="1:15">
      <c r="A2144">
        <v>2912</v>
      </c>
      <c r="B2144" t="s">
        <v>2802</v>
      </c>
      <c r="C2144" t="str">
        <f>"469007200202254979"</f>
        <v>469007200202254979</v>
      </c>
      <c r="L2144">
        <v>2912</v>
      </c>
      <c r="M2144" t="s">
        <v>2802</v>
      </c>
      <c r="O2144" t="str">
        <f>"469007200202254979"</f>
        <v>469007200202254979</v>
      </c>
    </row>
    <row r="2145" customFormat="1" spans="1:15">
      <c r="A2145">
        <v>2913</v>
      </c>
      <c r="B2145" t="s">
        <v>2803</v>
      </c>
      <c r="C2145" t="str">
        <f>"460003199810253241"</f>
        <v>460003199810253241</v>
      </c>
      <c r="L2145">
        <v>2913</v>
      </c>
      <c r="M2145" t="s">
        <v>2803</v>
      </c>
      <c r="O2145" t="str">
        <f>"460003199810253241"</f>
        <v>460003199810253241</v>
      </c>
    </row>
    <row r="2146" customFormat="1" spans="1:15">
      <c r="A2146">
        <v>2914</v>
      </c>
      <c r="B2146" t="s">
        <v>2804</v>
      </c>
      <c r="C2146" t="str">
        <f>"230523199606271522"</f>
        <v>230523199606271522</v>
      </c>
      <c r="D2146" t="str">
        <f>"248030200701"</f>
        <v>248030200701</v>
      </c>
      <c r="L2146">
        <v>2914</v>
      </c>
      <c r="M2146" t="s">
        <v>2804</v>
      </c>
      <c r="N2146" t="str">
        <f>"248030200701"</f>
        <v>248030200701</v>
      </c>
      <c r="O2146" t="str">
        <f>"230523199606271522"</f>
        <v>230523199606271522</v>
      </c>
    </row>
    <row r="2147" customFormat="1" spans="1:15">
      <c r="A2147">
        <v>2915</v>
      </c>
      <c r="B2147" t="s">
        <v>2805</v>
      </c>
      <c r="C2147" t="str">
        <f>"511621199405088343"</f>
        <v>511621199405088343</v>
      </c>
      <c r="D2147" t="str">
        <f>"248030504113"</f>
        <v>248030504113</v>
      </c>
      <c r="L2147">
        <v>2915</v>
      </c>
      <c r="M2147" t="s">
        <v>2805</v>
      </c>
      <c r="N2147" t="str">
        <f>"248030504113"</f>
        <v>248030504113</v>
      </c>
      <c r="O2147" t="str">
        <f>"511621199405088343"</f>
        <v>511621199405088343</v>
      </c>
    </row>
    <row r="2148" customFormat="1" spans="1:15">
      <c r="A2148">
        <v>2916</v>
      </c>
      <c r="B2148" t="s">
        <v>2806</v>
      </c>
      <c r="C2148" t="str">
        <f>"460025199002100966"</f>
        <v>460025199002100966</v>
      </c>
      <c r="D2148" t="str">
        <f>"248030100228"</f>
        <v>248030100228</v>
      </c>
      <c r="L2148">
        <v>2916</v>
      </c>
      <c r="M2148" t="s">
        <v>2806</v>
      </c>
      <c r="N2148" t="str">
        <f>"248030100228"</f>
        <v>248030100228</v>
      </c>
      <c r="O2148" t="str">
        <f>"460025199002100966"</f>
        <v>460025199002100966</v>
      </c>
    </row>
    <row r="2149" customFormat="1" spans="1:15">
      <c r="A2149">
        <v>2917</v>
      </c>
      <c r="B2149" t="s">
        <v>2807</v>
      </c>
      <c r="C2149" t="str">
        <f>"460006199212200026"</f>
        <v>460006199212200026</v>
      </c>
      <c r="D2149" t="str">
        <f>"248030200520"</f>
        <v>248030200520</v>
      </c>
      <c r="L2149">
        <v>2917</v>
      </c>
      <c r="M2149" t="s">
        <v>2807</v>
      </c>
      <c r="N2149" t="str">
        <f>"248030200520"</f>
        <v>248030200520</v>
      </c>
      <c r="O2149" t="str">
        <f>"460006199212200026"</f>
        <v>460006199212200026</v>
      </c>
    </row>
    <row r="2150" customFormat="1" spans="1:15">
      <c r="A2150">
        <v>2919</v>
      </c>
      <c r="B2150" t="s">
        <v>2808</v>
      </c>
      <c r="C2150" t="str">
        <f>"460003199910318823"</f>
        <v>460003199910318823</v>
      </c>
      <c r="D2150" t="str">
        <f>"248030501606"</f>
        <v>248030501606</v>
      </c>
      <c r="L2150">
        <v>2919</v>
      </c>
      <c r="M2150" t="s">
        <v>2808</v>
      </c>
      <c r="N2150" t="str">
        <f>"248030501606"</f>
        <v>248030501606</v>
      </c>
      <c r="O2150" t="str">
        <f>"460003199910318823"</f>
        <v>460003199910318823</v>
      </c>
    </row>
    <row r="2151" customFormat="1" spans="1:15">
      <c r="A2151">
        <v>2920</v>
      </c>
      <c r="B2151" t="s">
        <v>2809</v>
      </c>
      <c r="C2151" t="str">
        <f>"340826199911098712"</f>
        <v>340826199911098712</v>
      </c>
      <c r="D2151" t="str">
        <f>"248030301604"</f>
        <v>248030301604</v>
      </c>
      <c r="L2151">
        <v>2920</v>
      </c>
      <c r="M2151" t="s">
        <v>2809</v>
      </c>
      <c r="N2151" t="str">
        <f>"248030301604"</f>
        <v>248030301604</v>
      </c>
      <c r="O2151" t="str">
        <f>"340826199911098712"</f>
        <v>340826199911098712</v>
      </c>
    </row>
    <row r="2152" customFormat="1" spans="1:15">
      <c r="A2152">
        <v>2921</v>
      </c>
      <c r="B2152" t="s">
        <v>566</v>
      </c>
      <c r="C2152" t="str">
        <f>"460003200001171620"</f>
        <v>460003200001171620</v>
      </c>
      <c r="D2152" t="str">
        <f>"248030302714"</f>
        <v>248030302714</v>
      </c>
      <c r="L2152">
        <v>2921</v>
      </c>
      <c r="M2152" t="s">
        <v>566</v>
      </c>
      <c r="N2152" t="str">
        <f>"248030302714"</f>
        <v>248030302714</v>
      </c>
      <c r="O2152" t="str">
        <f>"460003200001171620"</f>
        <v>460003200001171620</v>
      </c>
    </row>
    <row r="2153" customFormat="1" spans="1:15">
      <c r="A2153">
        <v>2922</v>
      </c>
      <c r="B2153" t="s">
        <v>2810</v>
      </c>
      <c r="C2153" t="str">
        <f>"460027199003105980"</f>
        <v>460027199003105980</v>
      </c>
      <c r="D2153" t="str">
        <f>"248030404210"</f>
        <v>248030404210</v>
      </c>
      <c r="L2153">
        <v>2922</v>
      </c>
      <c r="M2153" t="s">
        <v>2810</v>
      </c>
      <c r="N2153" t="str">
        <f>"248030404210"</f>
        <v>248030404210</v>
      </c>
      <c r="O2153" t="str">
        <f>"460027199003105980"</f>
        <v>460027199003105980</v>
      </c>
    </row>
    <row r="2154" customFormat="1" spans="1:15">
      <c r="A2154">
        <v>2923</v>
      </c>
      <c r="B2154" t="s">
        <v>2811</v>
      </c>
      <c r="C2154" t="str">
        <f>"612325199709160117"</f>
        <v>612325199709160117</v>
      </c>
      <c r="L2154">
        <v>2923</v>
      </c>
      <c r="M2154" t="s">
        <v>2811</v>
      </c>
      <c r="O2154" t="str">
        <f>"612325199709160117"</f>
        <v>612325199709160117</v>
      </c>
    </row>
    <row r="2155" customFormat="1" spans="1:15">
      <c r="A2155">
        <v>2924</v>
      </c>
      <c r="B2155" t="s">
        <v>2812</v>
      </c>
      <c r="C2155" t="str">
        <f>"460004199907204020"</f>
        <v>460004199907204020</v>
      </c>
      <c r="D2155" t="str">
        <f>"248030302722"</f>
        <v>248030302722</v>
      </c>
      <c r="L2155">
        <v>2924</v>
      </c>
      <c r="M2155" t="s">
        <v>2812</v>
      </c>
      <c r="N2155" t="str">
        <f>"248030302722"</f>
        <v>248030302722</v>
      </c>
      <c r="O2155" t="str">
        <f>"460004199907204020"</f>
        <v>460004199907204020</v>
      </c>
    </row>
    <row r="2156" customFormat="1" spans="1:15">
      <c r="A2156">
        <v>2926</v>
      </c>
      <c r="B2156" t="s">
        <v>2813</v>
      </c>
      <c r="C2156" t="str">
        <f>"460027199909240652"</f>
        <v>460027199909240652</v>
      </c>
      <c r="D2156" t="str">
        <f>"248030203921"</f>
        <v>248030203921</v>
      </c>
      <c r="L2156">
        <v>2926</v>
      </c>
      <c r="M2156" t="s">
        <v>2813</v>
      </c>
      <c r="N2156" t="str">
        <f>"248030203921"</f>
        <v>248030203921</v>
      </c>
      <c r="O2156" t="str">
        <f>"460027199909240652"</f>
        <v>460027199909240652</v>
      </c>
    </row>
    <row r="2157" customFormat="1" spans="1:15">
      <c r="A2157">
        <v>2928</v>
      </c>
      <c r="B2157" t="s">
        <v>2814</v>
      </c>
      <c r="C2157" t="str">
        <f>"460003200304274627"</f>
        <v>460003200304274627</v>
      </c>
      <c r="D2157" t="str">
        <f>"248030101126"</f>
        <v>248030101126</v>
      </c>
      <c r="L2157">
        <v>2928</v>
      </c>
      <c r="M2157" t="s">
        <v>2814</v>
      </c>
      <c r="N2157" t="str">
        <f>"248030101126"</f>
        <v>248030101126</v>
      </c>
      <c r="O2157" t="str">
        <f>"460003200304274627"</f>
        <v>460003200304274627</v>
      </c>
    </row>
    <row r="2158" customFormat="1" spans="1:15">
      <c r="A2158">
        <v>2929</v>
      </c>
      <c r="B2158" t="s">
        <v>2815</v>
      </c>
      <c r="C2158" t="str">
        <f>"530128200008312124"</f>
        <v>530128200008312124</v>
      </c>
      <c r="D2158" t="str">
        <f>"248030501214"</f>
        <v>248030501214</v>
      </c>
      <c r="L2158">
        <v>2929</v>
      </c>
      <c r="M2158" t="s">
        <v>2815</v>
      </c>
      <c r="N2158" t="str">
        <f>"248030501214"</f>
        <v>248030501214</v>
      </c>
      <c r="O2158" t="str">
        <f>"530128200008312124"</f>
        <v>530128200008312124</v>
      </c>
    </row>
    <row r="2159" customFormat="1" spans="1:15">
      <c r="A2159">
        <v>2930</v>
      </c>
      <c r="B2159" t="s">
        <v>2816</v>
      </c>
      <c r="C2159" t="str">
        <f>"460200199208154728"</f>
        <v>460200199208154728</v>
      </c>
      <c r="D2159" t="str">
        <f>"248030100306"</f>
        <v>248030100306</v>
      </c>
      <c r="L2159">
        <v>2930</v>
      </c>
      <c r="M2159" t="s">
        <v>2816</v>
      </c>
      <c r="N2159" t="str">
        <f>"248030100306"</f>
        <v>248030100306</v>
      </c>
      <c r="O2159" t="str">
        <f>"460200199208154728"</f>
        <v>460200199208154728</v>
      </c>
    </row>
    <row r="2160" customFormat="1" spans="1:15">
      <c r="A2160">
        <v>2931</v>
      </c>
      <c r="B2160" t="s">
        <v>2817</v>
      </c>
      <c r="C2160" t="str">
        <f>"460103199801121824"</f>
        <v>460103199801121824</v>
      </c>
      <c r="D2160" t="str">
        <f>"248030402124"</f>
        <v>248030402124</v>
      </c>
      <c r="L2160">
        <v>2931</v>
      </c>
      <c r="M2160" t="s">
        <v>2817</v>
      </c>
      <c r="N2160" t="str">
        <f>"248030402124"</f>
        <v>248030402124</v>
      </c>
      <c r="O2160" t="str">
        <f>"460103199801121824"</f>
        <v>460103199801121824</v>
      </c>
    </row>
    <row r="2161" customFormat="1" spans="1:15">
      <c r="A2161">
        <v>2932</v>
      </c>
      <c r="B2161" t="s">
        <v>2818</v>
      </c>
      <c r="C2161" t="str">
        <f>"46030019991010032X"</f>
        <v>46030019991010032X</v>
      </c>
      <c r="L2161">
        <v>2932</v>
      </c>
      <c r="M2161" t="s">
        <v>2818</v>
      </c>
      <c r="O2161" t="str">
        <f>"46030019991010032X"</f>
        <v>46030019991010032X</v>
      </c>
    </row>
    <row r="2162" customFormat="1" spans="1:15">
      <c r="A2162">
        <v>2933</v>
      </c>
      <c r="B2162" t="s">
        <v>2819</v>
      </c>
      <c r="C2162" t="str">
        <f>"460104199507011241"</f>
        <v>460104199507011241</v>
      </c>
      <c r="D2162" t="str">
        <f>"248030200527"</f>
        <v>248030200527</v>
      </c>
      <c r="L2162">
        <v>2933</v>
      </c>
      <c r="M2162" t="s">
        <v>2819</v>
      </c>
      <c r="N2162" t="str">
        <f>"248030200527"</f>
        <v>248030200527</v>
      </c>
      <c r="O2162" t="str">
        <f>"460104199507011241"</f>
        <v>460104199507011241</v>
      </c>
    </row>
    <row r="2163" customFormat="1" spans="1:15">
      <c r="A2163">
        <v>2934</v>
      </c>
      <c r="B2163" t="s">
        <v>2820</v>
      </c>
      <c r="C2163" t="str">
        <f>"460004199412115624"</f>
        <v>460004199412115624</v>
      </c>
      <c r="D2163" t="str">
        <f>"248030502108"</f>
        <v>248030502108</v>
      </c>
      <c r="L2163">
        <v>2934</v>
      </c>
      <c r="M2163" t="s">
        <v>2820</v>
      </c>
      <c r="N2163" t="str">
        <f>"248030502108"</f>
        <v>248030502108</v>
      </c>
      <c r="O2163" t="str">
        <f>"460004199412115624"</f>
        <v>460004199412115624</v>
      </c>
    </row>
    <row r="2164" customFormat="1" spans="1:15">
      <c r="A2164">
        <v>2935</v>
      </c>
      <c r="B2164" t="s">
        <v>2821</v>
      </c>
      <c r="C2164" t="str">
        <f>"460003199812092410"</f>
        <v>460003199812092410</v>
      </c>
      <c r="L2164">
        <v>2935</v>
      </c>
      <c r="M2164" t="s">
        <v>2821</v>
      </c>
      <c r="O2164" t="str">
        <f>"460003199812092410"</f>
        <v>460003199812092410</v>
      </c>
    </row>
    <row r="2165" customFormat="1" spans="1:15">
      <c r="A2165">
        <v>2936</v>
      </c>
      <c r="B2165" t="s">
        <v>2822</v>
      </c>
      <c r="C2165" t="str">
        <f>"460007199604252024"</f>
        <v>460007199604252024</v>
      </c>
      <c r="D2165" t="str">
        <f>"248030103302"</f>
        <v>248030103302</v>
      </c>
      <c r="L2165">
        <v>2936</v>
      </c>
      <c r="M2165" t="s">
        <v>2822</v>
      </c>
      <c r="N2165" t="str">
        <f>"248030103302"</f>
        <v>248030103302</v>
      </c>
      <c r="O2165" t="str">
        <f>"460007199604252024"</f>
        <v>460007199604252024</v>
      </c>
    </row>
    <row r="2166" customFormat="1" spans="1:15">
      <c r="A2166">
        <v>2937</v>
      </c>
      <c r="B2166" t="s">
        <v>2823</v>
      </c>
      <c r="C2166" t="str">
        <f>"45092119951212082X"</f>
        <v>45092119951212082X</v>
      </c>
      <c r="D2166" t="str">
        <f>"248030503305"</f>
        <v>248030503305</v>
      </c>
      <c r="L2166">
        <v>2937</v>
      </c>
      <c r="M2166" t="s">
        <v>2823</v>
      </c>
      <c r="N2166" t="str">
        <f>"248030503305"</f>
        <v>248030503305</v>
      </c>
      <c r="O2166" t="str">
        <f>"45092119951212082X"</f>
        <v>45092119951212082X</v>
      </c>
    </row>
    <row r="2167" customFormat="1" spans="1:15">
      <c r="A2167">
        <v>2938</v>
      </c>
      <c r="B2167" t="s">
        <v>2824</v>
      </c>
      <c r="C2167" t="str">
        <f>"460022199711030033"</f>
        <v>460022199711030033</v>
      </c>
      <c r="D2167" t="str">
        <f>"248030201527"</f>
        <v>248030201527</v>
      </c>
      <c r="L2167">
        <v>2938</v>
      </c>
      <c r="M2167" t="s">
        <v>2824</v>
      </c>
      <c r="N2167" t="str">
        <f>"248030201527"</f>
        <v>248030201527</v>
      </c>
      <c r="O2167" t="str">
        <f>"460022199711030033"</f>
        <v>460022199711030033</v>
      </c>
    </row>
    <row r="2168" customFormat="1" spans="1:15">
      <c r="A2168">
        <v>2939</v>
      </c>
      <c r="B2168" t="s">
        <v>2825</v>
      </c>
      <c r="C2168" t="str">
        <f>"460006199812024417"</f>
        <v>460006199812024417</v>
      </c>
      <c r="D2168" t="str">
        <f>"248030201118"</f>
        <v>248030201118</v>
      </c>
      <c r="L2168">
        <v>2939</v>
      </c>
      <c r="M2168" t="s">
        <v>2825</v>
      </c>
      <c r="N2168" t="str">
        <f>"248030201118"</f>
        <v>248030201118</v>
      </c>
      <c r="O2168" t="str">
        <f>"460006199812024417"</f>
        <v>460006199812024417</v>
      </c>
    </row>
    <row r="2169" customFormat="1" spans="1:15">
      <c r="A2169">
        <v>2940</v>
      </c>
      <c r="B2169" t="s">
        <v>2826</v>
      </c>
      <c r="C2169" t="str">
        <f>"460027199906255920"</f>
        <v>460027199906255920</v>
      </c>
      <c r="D2169" t="str">
        <f>"248030203005"</f>
        <v>248030203005</v>
      </c>
      <c r="L2169">
        <v>2940</v>
      </c>
      <c r="M2169" t="s">
        <v>2826</v>
      </c>
      <c r="N2169" t="str">
        <f>"248030203005"</f>
        <v>248030203005</v>
      </c>
      <c r="O2169" t="str">
        <f>"460027199906255920"</f>
        <v>460027199906255920</v>
      </c>
    </row>
    <row r="2170" customFormat="1" spans="1:15">
      <c r="A2170">
        <v>2941</v>
      </c>
      <c r="B2170" t="s">
        <v>2827</v>
      </c>
      <c r="C2170" t="str">
        <f>"460005200011010081"</f>
        <v>460005200011010081</v>
      </c>
      <c r="D2170" t="str">
        <f>"248030502822"</f>
        <v>248030502822</v>
      </c>
      <c r="L2170">
        <v>2941</v>
      </c>
      <c r="M2170" t="s">
        <v>2827</v>
      </c>
      <c r="N2170" t="str">
        <f>"248030502822"</f>
        <v>248030502822</v>
      </c>
      <c r="O2170" t="str">
        <f>"460005200011010081"</f>
        <v>460005200011010081</v>
      </c>
    </row>
    <row r="2171" customFormat="1" spans="1:15">
      <c r="A2171">
        <v>2942</v>
      </c>
      <c r="B2171" t="s">
        <v>2828</v>
      </c>
      <c r="C2171" t="str">
        <f>"412701199205031016"</f>
        <v>412701199205031016</v>
      </c>
      <c r="D2171" t="str">
        <f>"248030401010"</f>
        <v>248030401010</v>
      </c>
      <c r="L2171">
        <v>2942</v>
      </c>
      <c r="M2171" t="s">
        <v>2828</v>
      </c>
      <c r="N2171" t="str">
        <f>"248030401010"</f>
        <v>248030401010</v>
      </c>
      <c r="O2171" t="str">
        <f>"412701199205031016"</f>
        <v>412701199205031016</v>
      </c>
    </row>
    <row r="2172" customFormat="1" spans="1:15">
      <c r="A2172">
        <v>2943</v>
      </c>
      <c r="B2172" t="s">
        <v>2829</v>
      </c>
      <c r="C2172" t="str">
        <f>"46000620020729043X"</f>
        <v>46000620020729043X</v>
      </c>
      <c r="D2172" t="str">
        <f>"248030201723"</f>
        <v>248030201723</v>
      </c>
      <c r="L2172">
        <v>2943</v>
      </c>
      <c r="M2172" t="s">
        <v>2829</v>
      </c>
      <c r="N2172" t="str">
        <f>"248030201723"</f>
        <v>248030201723</v>
      </c>
      <c r="O2172" t="str">
        <f>"46000620020729043X"</f>
        <v>46000620020729043X</v>
      </c>
    </row>
    <row r="2173" customFormat="1" spans="1:15">
      <c r="A2173">
        <v>2945</v>
      </c>
      <c r="B2173" t="s">
        <v>2830</v>
      </c>
      <c r="C2173" t="str">
        <f>"460200199808064945"</f>
        <v>460200199808064945</v>
      </c>
      <c r="D2173" t="str">
        <f>"248030102002"</f>
        <v>248030102002</v>
      </c>
      <c r="L2173">
        <v>2945</v>
      </c>
      <c r="M2173" t="s">
        <v>2830</v>
      </c>
      <c r="N2173" t="str">
        <f>"248030102002"</f>
        <v>248030102002</v>
      </c>
      <c r="O2173" t="str">
        <f>"460200199808064945"</f>
        <v>460200199808064945</v>
      </c>
    </row>
    <row r="2174" customFormat="1" spans="1:15">
      <c r="A2174">
        <v>2946</v>
      </c>
      <c r="B2174" t="s">
        <v>2831</v>
      </c>
      <c r="C2174" t="str">
        <f>"46000319920525342X"</f>
        <v>46000319920525342X</v>
      </c>
      <c r="L2174">
        <v>2946</v>
      </c>
      <c r="M2174" t="s">
        <v>2831</v>
      </c>
      <c r="O2174" t="str">
        <f>"46000319920525342X"</f>
        <v>46000319920525342X</v>
      </c>
    </row>
    <row r="2175" customFormat="1" spans="1:15">
      <c r="A2175">
        <v>2947</v>
      </c>
      <c r="B2175" t="s">
        <v>2832</v>
      </c>
      <c r="C2175" t="str">
        <f>"220112199309123627"</f>
        <v>220112199309123627</v>
      </c>
      <c r="D2175" t="str">
        <f>"248030401704"</f>
        <v>248030401704</v>
      </c>
      <c r="L2175">
        <v>2947</v>
      </c>
      <c r="M2175" t="s">
        <v>2832</v>
      </c>
      <c r="N2175" t="str">
        <f>"248030401704"</f>
        <v>248030401704</v>
      </c>
      <c r="O2175" t="str">
        <f>"220112199309123627"</f>
        <v>220112199309123627</v>
      </c>
    </row>
    <row r="2176" customFormat="1" spans="1:15">
      <c r="A2176">
        <v>2948</v>
      </c>
      <c r="B2176" t="s">
        <v>2833</v>
      </c>
      <c r="C2176" t="str">
        <f>"460033200107213268"</f>
        <v>460033200107213268</v>
      </c>
      <c r="L2176">
        <v>2948</v>
      </c>
      <c r="M2176" t="s">
        <v>2833</v>
      </c>
      <c r="O2176" t="str">
        <f>"460033200107213268"</f>
        <v>460033200107213268</v>
      </c>
    </row>
    <row r="2177" customFormat="1" spans="1:15">
      <c r="A2177">
        <v>2949</v>
      </c>
      <c r="B2177" t="s">
        <v>2834</v>
      </c>
      <c r="C2177" t="str">
        <f>"46000420000323082X"</f>
        <v>46000420000323082X</v>
      </c>
      <c r="D2177" t="str">
        <f>"248030104821"</f>
        <v>248030104821</v>
      </c>
      <c r="L2177">
        <v>2949</v>
      </c>
      <c r="M2177" t="s">
        <v>2834</v>
      </c>
      <c r="N2177" t="str">
        <f>"248030104821"</f>
        <v>248030104821</v>
      </c>
      <c r="O2177" t="str">
        <f>"46000420000323082X"</f>
        <v>46000420000323082X</v>
      </c>
    </row>
    <row r="2178" customFormat="1" spans="1:15">
      <c r="A2178">
        <v>2950</v>
      </c>
      <c r="B2178" t="s">
        <v>2835</v>
      </c>
      <c r="C2178" t="str">
        <f>"460003199910124623"</f>
        <v>460003199910124623</v>
      </c>
      <c r="D2178" t="str">
        <f>"248030302515"</f>
        <v>248030302515</v>
      </c>
      <c r="L2178">
        <v>2950</v>
      </c>
      <c r="M2178" t="s">
        <v>2835</v>
      </c>
      <c r="N2178" t="str">
        <f>"248030302515"</f>
        <v>248030302515</v>
      </c>
      <c r="O2178" t="str">
        <f>"460003199910124623"</f>
        <v>460003199910124623</v>
      </c>
    </row>
    <row r="2179" customFormat="1" spans="1:15">
      <c r="A2179">
        <v>2951</v>
      </c>
      <c r="B2179" t="s">
        <v>2836</v>
      </c>
      <c r="C2179" t="str">
        <f>"460007199305125762"</f>
        <v>460007199305125762</v>
      </c>
      <c r="D2179" t="str">
        <f>"248030301304"</f>
        <v>248030301304</v>
      </c>
      <c r="L2179">
        <v>2951</v>
      </c>
      <c r="M2179" t="s">
        <v>2836</v>
      </c>
      <c r="N2179" t="str">
        <f>"248030301304"</f>
        <v>248030301304</v>
      </c>
      <c r="O2179" t="str">
        <f>"460007199305125762"</f>
        <v>460007199305125762</v>
      </c>
    </row>
    <row r="2180" customFormat="1" spans="1:15">
      <c r="A2180">
        <v>2952</v>
      </c>
      <c r="B2180" t="s">
        <v>2837</v>
      </c>
      <c r="C2180" t="str">
        <f>"460004199312034229"</f>
        <v>460004199312034229</v>
      </c>
      <c r="D2180" t="str">
        <f>"248030300208"</f>
        <v>248030300208</v>
      </c>
      <c r="L2180">
        <v>2952</v>
      </c>
      <c r="M2180" t="s">
        <v>2837</v>
      </c>
      <c r="N2180" t="str">
        <f>"248030300208"</f>
        <v>248030300208</v>
      </c>
      <c r="O2180" t="str">
        <f>"460004199312034229"</f>
        <v>460004199312034229</v>
      </c>
    </row>
    <row r="2181" customFormat="1" spans="1:15">
      <c r="A2181">
        <v>2954</v>
      </c>
      <c r="B2181" t="s">
        <v>2838</v>
      </c>
      <c r="C2181" t="str">
        <f>"460002199809131822"</f>
        <v>460002199809131822</v>
      </c>
      <c r="D2181" t="str">
        <f>"248030500430"</f>
        <v>248030500430</v>
      </c>
      <c r="L2181">
        <v>2954</v>
      </c>
      <c r="M2181" t="s">
        <v>2838</v>
      </c>
      <c r="N2181" t="str">
        <f>"248030500430"</f>
        <v>248030500430</v>
      </c>
      <c r="O2181" t="str">
        <f>"460002199809131822"</f>
        <v>460002199809131822</v>
      </c>
    </row>
    <row r="2182" customFormat="1" spans="1:15">
      <c r="A2182">
        <v>2955</v>
      </c>
      <c r="B2182" t="s">
        <v>2839</v>
      </c>
      <c r="C2182" t="str">
        <f>"460102200201190024"</f>
        <v>460102200201190024</v>
      </c>
      <c r="D2182" t="str">
        <f>"248030300521"</f>
        <v>248030300521</v>
      </c>
      <c r="L2182">
        <v>2955</v>
      </c>
      <c r="M2182" t="s">
        <v>2839</v>
      </c>
      <c r="N2182" t="str">
        <f>"248030300521"</f>
        <v>248030300521</v>
      </c>
      <c r="O2182" t="str">
        <f>"460102200201190024"</f>
        <v>460102200201190024</v>
      </c>
    </row>
    <row r="2183" customFormat="1" spans="1:15">
      <c r="A2183">
        <v>2956</v>
      </c>
      <c r="B2183" t="s">
        <v>2840</v>
      </c>
      <c r="C2183" t="str">
        <f>"500105199012292220"</f>
        <v>500105199012292220</v>
      </c>
      <c r="L2183">
        <v>2956</v>
      </c>
      <c r="M2183" t="s">
        <v>2840</v>
      </c>
      <c r="O2183" t="str">
        <f>"500105199012292220"</f>
        <v>500105199012292220</v>
      </c>
    </row>
    <row r="2184" customFormat="1" spans="1:15">
      <c r="A2184">
        <v>2958</v>
      </c>
      <c r="B2184" t="s">
        <v>2841</v>
      </c>
      <c r="C2184" t="str">
        <f>"460002199302012226"</f>
        <v>460002199302012226</v>
      </c>
      <c r="D2184" t="str">
        <f>"248030402714"</f>
        <v>248030402714</v>
      </c>
      <c r="L2184">
        <v>2958</v>
      </c>
      <c r="M2184" t="s">
        <v>2841</v>
      </c>
      <c r="N2184" t="str">
        <f>"248030402714"</f>
        <v>248030402714</v>
      </c>
      <c r="O2184" t="str">
        <f>"460002199302012226"</f>
        <v>460002199302012226</v>
      </c>
    </row>
    <row r="2185" customFormat="1" spans="1:15">
      <c r="A2185">
        <v>2959</v>
      </c>
      <c r="B2185" t="s">
        <v>2842</v>
      </c>
      <c r="C2185" t="str">
        <f>"460022199702073242"</f>
        <v>460022199702073242</v>
      </c>
      <c r="D2185" t="str">
        <f>"248030202519"</f>
        <v>248030202519</v>
      </c>
      <c r="L2185">
        <v>2959</v>
      </c>
      <c r="M2185" t="s">
        <v>2842</v>
      </c>
      <c r="N2185" t="str">
        <f>"248030202519"</f>
        <v>248030202519</v>
      </c>
      <c r="O2185" t="str">
        <f>"460022199702073242"</f>
        <v>460022199702073242</v>
      </c>
    </row>
    <row r="2186" customFormat="1" spans="1:15">
      <c r="A2186">
        <v>2960</v>
      </c>
      <c r="B2186" t="s">
        <v>521</v>
      </c>
      <c r="C2186" t="str">
        <f>"460007199402060841"</f>
        <v>460007199402060841</v>
      </c>
      <c r="D2186" t="str">
        <f>"248030403505"</f>
        <v>248030403505</v>
      </c>
      <c r="L2186">
        <v>2960</v>
      </c>
      <c r="M2186" t="s">
        <v>521</v>
      </c>
      <c r="N2186" t="str">
        <f>"248030403505"</f>
        <v>248030403505</v>
      </c>
      <c r="O2186" t="str">
        <f>"460007199402060841"</f>
        <v>460007199402060841</v>
      </c>
    </row>
    <row r="2187" customFormat="1" spans="1:15">
      <c r="A2187">
        <v>2961</v>
      </c>
      <c r="B2187" t="s">
        <v>2843</v>
      </c>
      <c r="C2187" t="str">
        <f>"460003200011156627"</f>
        <v>460003200011156627</v>
      </c>
      <c r="L2187">
        <v>2961</v>
      </c>
      <c r="M2187" t="s">
        <v>2843</v>
      </c>
      <c r="O2187" t="str">
        <f>"460003200011156627"</f>
        <v>460003200011156627</v>
      </c>
    </row>
    <row r="2188" customFormat="1" spans="1:15">
      <c r="A2188">
        <v>2962</v>
      </c>
      <c r="B2188" t="s">
        <v>2844</v>
      </c>
      <c r="C2188" t="str">
        <f>"460006200007020232"</f>
        <v>460006200007020232</v>
      </c>
      <c r="D2188" t="str">
        <f>"248030200414"</f>
        <v>248030200414</v>
      </c>
      <c r="L2188">
        <v>2962</v>
      </c>
      <c r="M2188" t="s">
        <v>2844</v>
      </c>
      <c r="N2188" t="str">
        <f>"248030200414"</f>
        <v>248030200414</v>
      </c>
      <c r="O2188" t="str">
        <f>"460006200007020232"</f>
        <v>460006200007020232</v>
      </c>
    </row>
    <row r="2189" customFormat="1" spans="1:15">
      <c r="A2189">
        <v>2965</v>
      </c>
      <c r="B2189" t="s">
        <v>2845</v>
      </c>
      <c r="C2189" t="str">
        <f>"460003200010102643"</f>
        <v>460003200010102643</v>
      </c>
      <c r="L2189">
        <v>2965</v>
      </c>
      <c r="M2189" t="s">
        <v>2845</v>
      </c>
      <c r="O2189" t="str">
        <f>"460003200010102643"</f>
        <v>460003200010102643</v>
      </c>
    </row>
    <row r="2190" customFormat="1" spans="1:15">
      <c r="A2190">
        <v>2967</v>
      </c>
      <c r="B2190" t="s">
        <v>2846</v>
      </c>
      <c r="C2190" t="str">
        <f>"460033199702053582"</f>
        <v>460033199702053582</v>
      </c>
      <c r="D2190" t="str">
        <f>"248030402713"</f>
        <v>248030402713</v>
      </c>
      <c r="L2190">
        <v>2967</v>
      </c>
      <c r="M2190" t="s">
        <v>2846</v>
      </c>
      <c r="N2190" t="str">
        <f>"248030402713"</f>
        <v>248030402713</v>
      </c>
      <c r="O2190" t="str">
        <f>"460033199702053582"</f>
        <v>460033199702053582</v>
      </c>
    </row>
    <row r="2191" customFormat="1" spans="1:15">
      <c r="A2191">
        <v>2968</v>
      </c>
      <c r="B2191" t="s">
        <v>2847</v>
      </c>
      <c r="C2191" t="str">
        <f>"46902619910906682X"</f>
        <v>46902619910906682X</v>
      </c>
      <c r="D2191" t="str">
        <f>"248030300119"</f>
        <v>248030300119</v>
      </c>
      <c r="L2191">
        <v>2968</v>
      </c>
      <c r="M2191" t="s">
        <v>2847</v>
      </c>
      <c r="N2191" t="str">
        <f>"248030300119"</f>
        <v>248030300119</v>
      </c>
      <c r="O2191" t="str">
        <f>"46902619910906682X"</f>
        <v>46902619910906682X</v>
      </c>
    </row>
    <row r="2192" customFormat="1" spans="1:15">
      <c r="A2192">
        <v>2970</v>
      </c>
      <c r="B2192" t="s">
        <v>2848</v>
      </c>
      <c r="C2192" t="str">
        <f>"460002200106015222"</f>
        <v>460002200106015222</v>
      </c>
      <c r="D2192" t="str">
        <f>"248030200120"</f>
        <v>248030200120</v>
      </c>
      <c r="L2192">
        <v>2970</v>
      </c>
      <c r="M2192" t="s">
        <v>2848</v>
      </c>
      <c r="N2192" t="str">
        <f>"248030200120"</f>
        <v>248030200120</v>
      </c>
      <c r="O2192" t="str">
        <f>"460002200106015222"</f>
        <v>460002200106015222</v>
      </c>
    </row>
    <row r="2193" customFormat="1" spans="1:15">
      <c r="A2193">
        <v>2972</v>
      </c>
      <c r="B2193" t="s">
        <v>2849</v>
      </c>
      <c r="C2193" t="str">
        <f>"469003200012191924"</f>
        <v>469003200012191924</v>
      </c>
      <c r="D2193" t="str">
        <f>"248030203301"</f>
        <v>248030203301</v>
      </c>
      <c r="L2193">
        <v>2972</v>
      </c>
      <c r="M2193" t="s">
        <v>2849</v>
      </c>
      <c r="N2193" t="str">
        <f>"248030203301"</f>
        <v>248030203301</v>
      </c>
      <c r="O2193" t="str">
        <f>"469003200012191924"</f>
        <v>469003200012191924</v>
      </c>
    </row>
    <row r="2194" customFormat="1" spans="1:15">
      <c r="A2194">
        <v>2973</v>
      </c>
      <c r="B2194" t="s">
        <v>2850</v>
      </c>
      <c r="C2194" t="str">
        <f>"46000519980104482X"</f>
        <v>46000519980104482X</v>
      </c>
      <c r="L2194">
        <v>2973</v>
      </c>
      <c r="M2194" t="s">
        <v>2850</v>
      </c>
      <c r="O2194" t="str">
        <f>"46000519980104482X"</f>
        <v>46000519980104482X</v>
      </c>
    </row>
    <row r="2195" customFormat="1" spans="1:15">
      <c r="A2195">
        <v>2976</v>
      </c>
      <c r="B2195" t="s">
        <v>1882</v>
      </c>
      <c r="C2195" t="str">
        <f>"460027199807101723"</f>
        <v>460027199807101723</v>
      </c>
      <c r="D2195" t="str">
        <f>"248030302228"</f>
        <v>248030302228</v>
      </c>
      <c r="L2195">
        <v>2976</v>
      </c>
      <c r="M2195" t="s">
        <v>1882</v>
      </c>
      <c r="N2195" t="str">
        <f>"248030302228"</f>
        <v>248030302228</v>
      </c>
      <c r="O2195" t="str">
        <f>"460027199807101723"</f>
        <v>460027199807101723</v>
      </c>
    </row>
    <row r="2196" customFormat="1" spans="1:15">
      <c r="A2196">
        <v>2977</v>
      </c>
      <c r="B2196" t="s">
        <v>2851</v>
      </c>
      <c r="C2196" t="str">
        <f>"460004198904046026"</f>
        <v>460004198904046026</v>
      </c>
      <c r="D2196" t="str">
        <f>"248030403621"</f>
        <v>248030403621</v>
      </c>
      <c r="L2196">
        <v>2977</v>
      </c>
      <c r="M2196" t="s">
        <v>2851</v>
      </c>
      <c r="N2196" t="str">
        <f>"248030403621"</f>
        <v>248030403621</v>
      </c>
      <c r="O2196" t="str">
        <f>"460004198904046026"</f>
        <v>460004198904046026</v>
      </c>
    </row>
    <row r="2197" customFormat="1" spans="1:15">
      <c r="A2197">
        <v>2979</v>
      </c>
      <c r="B2197" t="s">
        <v>2852</v>
      </c>
      <c r="C2197" t="str">
        <f>"460003199806097629"</f>
        <v>460003199806097629</v>
      </c>
      <c r="D2197" t="str">
        <f>"248030501922"</f>
        <v>248030501922</v>
      </c>
      <c r="L2197">
        <v>2979</v>
      </c>
      <c r="M2197" t="s">
        <v>2852</v>
      </c>
      <c r="N2197" t="str">
        <f>"248030501922"</f>
        <v>248030501922</v>
      </c>
      <c r="O2197" t="str">
        <f>"460003199806097629"</f>
        <v>460003199806097629</v>
      </c>
    </row>
    <row r="2198" customFormat="1" spans="1:15">
      <c r="A2198">
        <v>2980</v>
      </c>
      <c r="B2198" t="s">
        <v>2853</v>
      </c>
      <c r="C2198" t="str">
        <f>"460003199412106625"</f>
        <v>460003199412106625</v>
      </c>
      <c r="D2198" t="str">
        <f>"248030403315"</f>
        <v>248030403315</v>
      </c>
      <c r="L2198">
        <v>2980</v>
      </c>
      <c r="M2198" t="s">
        <v>2853</v>
      </c>
      <c r="N2198" t="str">
        <f>"248030403315"</f>
        <v>248030403315</v>
      </c>
      <c r="O2198" t="str">
        <f>"460003199412106625"</f>
        <v>460003199412106625</v>
      </c>
    </row>
    <row r="2199" customFormat="1" spans="1:15">
      <c r="A2199">
        <v>2982</v>
      </c>
      <c r="B2199" t="s">
        <v>2854</v>
      </c>
      <c r="C2199" t="str">
        <f>"15210419840801592X"</f>
        <v>15210419840801592X</v>
      </c>
      <c r="D2199" t="str">
        <f>"248030102417"</f>
        <v>248030102417</v>
      </c>
      <c r="L2199">
        <v>2982</v>
      </c>
      <c r="M2199" t="s">
        <v>2854</v>
      </c>
      <c r="N2199" t="str">
        <f>"248030102417"</f>
        <v>248030102417</v>
      </c>
      <c r="O2199" t="str">
        <f>"15210419840801592X"</f>
        <v>15210419840801592X</v>
      </c>
    </row>
    <row r="2200" customFormat="1" spans="1:15">
      <c r="A2200">
        <v>2983</v>
      </c>
      <c r="B2200" t="s">
        <v>2855</v>
      </c>
      <c r="C2200" t="str">
        <f>"140203200111102622"</f>
        <v>140203200111102622</v>
      </c>
      <c r="D2200" t="str">
        <f>"248030203009"</f>
        <v>248030203009</v>
      </c>
      <c r="L2200">
        <v>2983</v>
      </c>
      <c r="M2200" t="s">
        <v>2855</v>
      </c>
      <c r="N2200" t="str">
        <f>"248030203009"</f>
        <v>248030203009</v>
      </c>
      <c r="O2200" t="str">
        <f>"140203200111102622"</f>
        <v>140203200111102622</v>
      </c>
    </row>
    <row r="2201" customFormat="1" spans="1:15">
      <c r="A2201">
        <v>2985</v>
      </c>
      <c r="B2201" t="s">
        <v>2856</v>
      </c>
      <c r="C2201" t="str">
        <f>"45080219900405469X"</f>
        <v>45080219900405469X</v>
      </c>
      <c r="L2201">
        <v>2985</v>
      </c>
      <c r="M2201" t="s">
        <v>2856</v>
      </c>
      <c r="O2201" t="str">
        <f>"45080219900405469X"</f>
        <v>45080219900405469X</v>
      </c>
    </row>
    <row r="2202" customFormat="1" spans="1:15">
      <c r="A2202">
        <v>2986</v>
      </c>
      <c r="B2202" t="s">
        <v>2857</v>
      </c>
      <c r="C2202" t="str">
        <f>"460035200003100923"</f>
        <v>460035200003100923</v>
      </c>
      <c r="D2202" t="str">
        <f>"248030300606"</f>
        <v>248030300606</v>
      </c>
      <c r="L2202">
        <v>2986</v>
      </c>
      <c r="M2202" t="s">
        <v>2857</v>
      </c>
      <c r="N2202" t="str">
        <f>"248030300606"</f>
        <v>248030300606</v>
      </c>
      <c r="O2202" t="str">
        <f>"460035200003100923"</f>
        <v>460035200003100923</v>
      </c>
    </row>
    <row r="2203" customFormat="1" spans="1:15">
      <c r="A2203">
        <v>2987</v>
      </c>
      <c r="B2203" t="s">
        <v>2858</v>
      </c>
      <c r="C2203" t="str">
        <f>"452528199711032528"</f>
        <v>452528199711032528</v>
      </c>
      <c r="D2203" t="str">
        <f>"248030102120"</f>
        <v>248030102120</v>
      </c>
      <c r="L2203">
        <v>2987</v>
      </c>
      <c r="M2203" t="s">
        <v>2858</v>
      </c>
      <c r="N2203" t="str">
        <f>"248030102120"</f>
        <v>248030102120</v>
      </c>
      <c r="O2203" t="str">
        <f>"452528199711032528"</f>
        <v>452528199711032528</v>
      </c>
    </row>
    <row r="2204" customFormat="1" spans="1:15">
      <c r="A2204">
        <v>2988</v>
      </c>
      <c r="B2204" t="s">
        <v>2859</v>
      </c>
      <c r="C2204" t="str">
        <f>"460003199609283078"</f>
        <v>460003199609283078</v>
      </c>
      <c r="L2204">
        <v>2988</v>
      </c>
      <c r="M2204" t="s">
        <v>2859</v>
      </c>
      <c r="O2204" t="str">
        <f>"460003199609283078"</f>
        <v>460003199609283078</v>
      </c>
    </row>
    <row r="2205" customFormat="1" spans="1:15">
      <c r="A2205">
        <v>2991</v>
      </c>
      <c r="B2205" t="s">
        <v>2860</v>
      </c>
      <c r="C2205" t="str">
        <f>"22020419971126364X"</f>
        <v>22020419971126364X</v>
      </c>
      <c r="D2205" t="str">
        <f>"248030102314"</f>
        <v>248030102314</v>
      </c>
      <c r="L2205">
        <v>2991</v>
      </c>
      <c r="M2205" t="s">
        <v>2860</v>
      </c>
      <c r="N2205" t="str">
        <f>"248030102314"</f>
        <v>248030102314</v>
      </c>
      <c r="O2205" t="str">
        <f>"22020419971126364X"</f>
        <v>22020419971126364X</v>
      </c>
    </row>
    <row r="2206" customFormat="1" spans="1:15">
      <c r="A2206">
        <v>2992</v>
      </c>
      <c r="B2206" t="s">
        <v>2861</v>
      </c>
      <c r="C2206" t="str">
        <f>"460002199809104621"</f>
        <v>460002199809104621</v>
      </c>
      <c r="D2206" t="str">
        <f>"248030100416"</f>
        <v>248030100416</v>
      </c>
      <c r="L2206">
        <v>2992</v>
      </c>
      <c r="M2206" t="s">
        <v>2861</v>
      </c>
      <c r="N2206" t="str">
        <f>"248030100416"</f>
        <v>248030100416</v>
      </c>
      <c r="O2206" t="str">
        <f>"460002199809104621"</f>
        <v>460002199809104621</v>
      </c>
    </row>
    <row r="2207" customFormat="1" spans="1:15">
      <c r="A2207">
        <v>2994</v>
      </c>
      <c r="B2207" t="s">
        <v>2862</v>
      </c>
      <c r="C2207" t="str">
        <f>"460104199608190920"</f>
        <v>460104199608190920</v>
      </c>
      <c r="L2207">
        <v>2994</v>
      </c>
      <c r="M2207" t="s">
        <v>2862</v>
      </c>
      <c r="O2207" t="str">
        <f>"460104199608190920"</f>
        <v>460104199608190920</v>
      </c>
    </row>
    <row r="2208" customFormat="1" spans="1:15">
      <c r="A2208">
        <v>2995</v>
      </c>
      <c r="B2208" t="s">
        <v>2863</v>
      </c>
      <c r="C2208" t="str">
        <f>"430223199803097261"</f>
        <v>430223199803097261</v>
      </c>
      <c r="D2208" t="str">
        <f>"248030400917"</f>
        <v>248030400917</v>
      </c>
      <c r="L2208">
        <v>2995</v>
      </c>
      <c r="M2208" t="s">
        <v>2863</v>
      </c>
      <c r="N2208" t="str">
        <f>"248030400917"</f>
        <v>248030400917</v>
      </c>
      <c r="O2208" t="str">
        <f>"430223199803097261"</f>
        <v>430223199803097261</v>
      </c>
    </row>
    <row r="2209" customFormat="1" spans="1:15">
      <c r="A2209">
        <v>2996</v>
      </c>
      <c r="B2209" t="s">
        <v>2864</v>
      </c>
      <c r="C2209" t="str">
        <f>"460004199807075049"</f>
        <v>460004199807075049</v>
      </c>
      <c r="D2209" t="str">
        <f>"248030502409"</f>
        <v>248030502409</v>
      </c>
      <c r="L2209">
        <v>2996</v>
      </c>
      <c r="M2209" t="s">
        <v>2864</v>
      </c>
      <c r="N2209" t="str">
        <f>"248030502409"</f>
        <v>248030502409</v>
      </c>
      <c r="O2209" t="str">
        <f>"460004199807075049"</f>
        <v>460004199807075049</v>
      </c>
    </row>
    <row r="2210" customFormat="1" spans="1:15">
      <c r="A2210">
        <v>2999</v>
      </c>
      <c r="B2210" t="s">
        <v>2865</v>
      </c>
      <c r="C2210" t="str">
        <f>"460028198810252815"</f>
        <v>460028198810252815</v>
      </c>
      <c r="D2210" t="str">
        <f>"248030402602"</f>
        <v>248030402602</v>
      </c>
      <c r="L2210">
        <v>2999</v>
      </c>
      <c r="M2210" t="s">
        <v>2865</v>
      </c>
      <c r="N2210" t="str">
        <f>"248030402602"</f>
        <v>248030402602</v>
      </c>
      <c r="O2210" t="str">
        <f>"460028198810252815"</f>
        <v>460028198810252815</v>
      </c>
    </row>
    <row r="2211" customFormat="1" spans="1:15">
      <c r="A2211">
        <v>3000</v>
      </c>
      <c r="B2211" t="s">
        <v>2866</v>
      </c>
      <c r="C2211" t="str">
        <f>"460003199103072628"</f>
        <v>460003199103072628</v>
      </c>
      <c r="D2211" t="str">
        <f>"248030200502"</f>
        <v>248030200502</v>
      </c>
      <c r="L2211">
        <v>3000</v>
      </c>
      <c r="M2211" t="s">
        <v>2866</v>
      </c>
      <c r="N2211" t="str">
        <f>"248030200502"</f>
        <v>248030200502</v>
      </c>
      <c r="O2211" t="str">
        <f>"460003199103072628"</f>
        <v>460003199103072628</v>
      </c>
    </row>
    <row r="2212" customFormat="1" spans="1:15">
      <c r="A2212">
        <v>3001</v>
      </c>
      <c r="B2212" t="s">
        <v>2867</v>
      </c>
      <c r="C2212" t="str">
        <f>"460004200009050424"</f>
        <v>460004200009050424</v>
      </c>
      <c r="D2212" t="str">
        <f>"248030504123"</f>
        <v>248030504123</v>
      </c>
      <c r="L2212">
        <v>3001</v>
      </c>
      <c r="M2212" t="s">
        <v>2867</v>
      </c>
      <c r="N2212" t="str">
        <f>"248030504123"</f>
        <v>248030504123</v>
      </c>
      <c r="O2212" t="str">
        <f>"460004200009050424"</f>
        <v>460004200009050424</v>
      </c>
    </row>
    <row r="2213" customFormat="1" spans="1:15">
      <c r="A2213">
        <v>3002</v>
      </c>
      <c r="B2213" t="s">
        <v>2868</v>
      </c>
      <c r="C2213" t="str">
        <f>"460102200001010922"</f>
        <v>460102200001010922</v>
      </c>
      <c r="D2213" t="str">
        <f>"248030203212"</f>
        <v>248030203212</v>
      </c>
      <c r="L2213">
        <v>3002</v>
      </c>
      <c r="M2213" t="s">
        <v>2868</v>
      </c>
      <c r="N2213" t="str">
        <f>"248030203212"</f>
        <v>248030203212</v>
      </c>
      <c r="O2213" t="str">
        <f>"460102200001010922"</f>
        <v>460102200001010922</v>
      </c>
    </row>
    <row r="2214" customFormat="1" spans="1:15">
      <c r="A2214">
        <v>3003</v>
      </c>
      <c r="B2214" t="s">
        <v>2869</v>
      </c>
      <c r="C2214" t="str">
        <f>"469023200210172949"</f>
        <v>469023200210172949</v>
      </c>
      <c r="D2214" t="str">
        <f>"248030200109"</f>
        <v>248030200109</v>
      </c>
      <c r="L2214">
        <v>3003</v>
      </c>
      <c r="M2214" t="s">
        <v>2869</v>
      </c>
      <c r="N2214" t="str">
        <f>"248030200109"</f>
        <v>248030200109</v>
      </c>
      <c r="O2214" t="str">
        <f>"469023200210172949"</f>
        <v>469023200210172949</v>
      </c>
    </row>
    <row r="2215" customFormat="1" spans="1:15">
      <c r="A2215">
        <v>3004</v>
      </c>
      <c r="B2215" t="s">
        <v>2870</v>
      </c>
      <c r="C2215" t="str">
        <f>"460033199810254840"</f>
        <v>460033199810254840</v>
      </c>
      <c r="D2215" t="str">
        <f>"248030502330"</f>
        <v>248030502330</v>
      </c>
      <c r="L2215">
        <v>3004</v>
      </c>
      <c r="M2215" t="s">
        <v>2870</v>
      </c>
      <c r="N2215" t="str">
        <f>"248030502330"</f>
        <v>248030502330</v>
      </c>
      <c r="O2215" t="str">
        <f>"460033199810254840"</f>
        <v>460033199810254840</v>
      </c>
    </row>
    <row r="2216" customFormat="1" spans="1:15">
      <c r="A2216">
        <v>3005</v>
      </c>
      <c r="B2216" t="s">
        <v>2871</v>
      </c>
      <c r="C2216" t="str">
        <f>"460005200203155146"</f>
        <v>460005200203155146</v>
      </c>
      <c r="D2216" t="str">
        <f>"248030403904"</f>
        <v>248030403904</v>
      </c>
      <c r="L2216">
        <v>3005</v>
      </c>
      <c r="M2216" t="s">
        <v>2871</v>
      </c>
      <c r="N2216" t="str">
        <f>"248030403904"</f>
        <v>248030403904</v>
      </c>
      <c r="O2216" t="str">
        <f>"460005200203155146"</f>
        <v>460005200203155146</v>
      </c>
    </row>
    <row r="2217" customFormat="1" spans="1:15">
      <c r="A2217">
        <v>3006</v>
      </c>
      <c r="B2217" t="s">
        <v>2872</v>
      </c>
      <c r="C2217" t="str">
        <f>"460028199912026821"</f>
        <v>460028199912026821</v>
      </c>
      <c r="D2217" t="str">
        <f>"248030300312"</f>
        <v>248030300312</v>
      </c>
      <c r="L2217">
        <v>3006</v>
      </c>
      <c r="M2217" t="s">
        <v>2872</v>
      </c>
      <c r="N2217" t="str">
        <f>"248030300312"</f>
        <v>248030300312</v>
      </c>
      <c r="O2217" t="str">
        <f>"460028199912026821"</f>
        <v>460028199912026821</v>
      </c>
    </row>
    <row r="2218" customFormat="1" spans="1:15">
      <c r="A2218">
        <v>3007</v>
      </c>
      <c r="B2218" t="s">
        <v>2873</v>
      </c>
      <c r="C2218" t="str">
        <f>"460005200006021528"</f>
        <v>460005200006021528</v>
      </c>
      <c r="D2218" t="str">
        <f>"248030401122"</f>
        <v>248030401122</v>
      </c>
      <c r="L2218">
        <v>3007</v>
      </c>
      <c r="M2218" t="s">
        <v>2873</v>
      </c>
      <c r="N2218" t="str">
        <f>"248030401122"</f>
        <v>248030401122</v>
      </c>
      <c r="O2218" t="str">
        <f>"460005200006021528"</f>
        <v>460005200006021528</v>
      </c>
    </row>
    <row r="2219" customFormat="1" spans="1:15">
      <c r="A2219">
        <v>3009</v>
      </c>
      <c r="B2219" t="s">
        <v>2874</v>
      </c>
      <c r="C2219" t="str">
        <f>"460002199906024420"</f>
        <v>460002199906024420</v>
      </c>
      <c r="D2219" t="str">
        <f>"248030503714"</f>
        <v>248030503714</v>
      </c>
      <c r="L2219">
        <v>3009</v>
      </c>
      <c r="M2219" t="s">
        <v>2874</v>
      </c>
      <c r="N2219" t="str">
        <f>"248030503714"</f>
        <v>248030503714</v>
      </c>
      <c r="O2219" t="str">
        <f>"460002199906024420"</f>
        <v>460002199906024420</v>
      </c>
    </row>
    <row r="2220" customFormat="1" spans="1:15">
      <c r="A2220">
        <v>3010</v>
      </c>
      <c r="B2220" t="s">
        <v>2875</v>
      </c>
      <c r="C2220" t="str">
        <f>"460027200005257027"</f>
        <v>460027200005257027</v>
      </c>
      <c r="D2220" t="str">
        <f>"248030402616"</f>
        <v>248030402616</v>
      </c>
      <c r="L2220">
        <v>3010</v>
      </c>
      <c r="M2220" t="s">
        <v>2875</v>
      </c>
      <c r="N2220" t="str">
        <f>"248030402616"</f>
        <v>248030402616</v>
      </c>
      <c r="O2220" t="str">
        <f>"460027200005257027"</f>
        <v>460027200005257027</v>
      </c>
    </row>
    <row r="2221" customFormat="1" spans="1:15">
      <c r="A2221">
        <v>3011</v>
      </c>
      <c r="B2221" t="s">
        <v>2876</v>
      </c>
      <c r="C2221" t="str">
        <f>"460006199803230243"</f>
        <v>460006199803230243</v>
      </c>
      <c r="D2221" t="str">
        <f>"248030203911"</f>
        <v>248030203911</v>
      </c>
      <c r="L2221">
        <v>3011</v>
      </c>
      <c r="M2221" t="s">
        <v>2876</v>
      </c>
      <c r="N2221" t="str">
        <f>"248030203911"</f>
        <v>248030203911</v>
      </c>
      <c r="O2221" t="str">
        <f>"460006199803230243"</f>
        <v>460006199803230243</v>
      </c>
    </row>
    <row r="2222" customFormat="1" spans="1:15">
      <c r="A2222">
        <v>3012</v>
      </c>
      <c r="B2222" t="s">
        <v>2877</v>
      </c>
      <c r="C2222" t="str">
        <f>"460103200003171822"</f>
        <v>460103200003171822</v>
      </c>
      <c r="D2222" t="str">
        <f>"248030300227"</f>
        <v>248030300227</v>
      </c>
      <c r="L2222">
        <v>3012</v>
      </c>
      <c r="M2222" t="s">
        <v>2877</v>
      </c>
      <c r="N2222" t="str">
        <f>"248030300227"</f>
        <v>248030300227</v>
      </c>
      <c r="O2222" t="str">
        <f>"460103200003171822"</f>
        <v>460103200003171822</v>
      </c>
    </row>
    <row r="2223" customFormat="1" spans="1:15">
      <c r="A2223">
        <v>3013</v>
      </c>
      <c r="B2223" t="s">
        <v>2878</v>
      </c>
      <c r="C2223" t="str">
        <f>"360728200009111341"</f>
        <v>360728200009111341</v>
      </c>
      <c r="D2223" t="str">
        <f>"248030500908"</f>
        <v>248030500908</v>
      </c>
      <c r="L2223">
        <v>3013</v>
      </c>
      <c r="M2223" t="s">
        <v>2878</v>
      </c>
      <c r="N2223" t="str">
        <f>"248030500908"</f>
        <v>248030500908</v>
      </c>
      <c r="O2223" t="str">
        <f>"360728200009111341"</f>
        <v>360728200009111341</v>
      </c>
    </row>
    <row r="2224" customFormat="1" spans="1:15">
      <c r="A2224">
        <v>3014</v>
      </c>
      <c r="B2224" t="s">
        <v>2879</v>
      </c>
      <c r="C2224" t="str">
        <f>"410702199904191523"</f>
        <v>410702199904191523</v>
      </c>
      <c r="D2224" t="str">
        <f>"248030202406"</f>
        <v>248030202406</v>
      </c>
      <c r="L2224">
        <v>3014</v>
      </c>
      <c r="M2224" t="s">
        <v>2879</v>
      </c>
      <c r="N2224" t="str">
        <f>"248030202406"</f>
        <v>248030202406</v>
      </c>
      <c r="O2224" t="str">
        <f>"410702199904191523"</f>
        <v>410702199904191523</v>
      </c>
    </row>
    <row r="2225" customFormat="1" spans="1:15">
      <c r="A2225">
        <v>3018</v>
      </c>
      <c r="B2225" t="s">
        <v>2880</v>
      </c>
      <c r="C2225" t="str">
        <f>"460104200109111226"</f>
        <v>460104200109111226</v>
      </c>
      <c r="D2225" t="str">
        <f>"248030104112"</f>
        <v>248030104112</v>
      </c>
      <c r="L2225">
        <v>3018</v>
      </c>
      <c r="M2225" t="s">
        <v>2880</v>
      </c>
      <c r="N2225" t="str">
        <f>"248030104112"</f>
        <v>248030104112</v>
      </c>
      <c r="O2225" t="str">
        <f>"460104200109111226"</f>
        <v>460104200109111226</v>
      </c>
    </row>
    <row r="2226" customFormat="1" spans="1:15">
      <c r="A2226">
        <v>3019</v>
      </c>
      <c r="B2226" t="s">
        <v>2881</v>
      </c>
      <c r="C2226" t="str">
        <f>"46000319981106002X"</f>
        <v>46000319981106002X</v>
      </c>
      <c r="D2226" t="str">
        <f>"248030301818"</f>
        <v>248030301818</v>
      </c>
      <c r="L2226">
        <v>3019</v>
      </c>
      <c r="M2226" t="s">
        <v>2881</v>
      </c>
      <c r="N2226" t="str">
        <f>"248030301818"</f>
        <v>248030301818</v>
      </c>
      <c r="O2226" t="str">
        <f>"46000319981106002X"</f>
        <v>46000319981106002X</v>
      </c>
    </row>
    <row r="2227" customFormat="1" spans="1:15">
      <c r="A2227">
        <v>3020</v>
      </c>
      <c r="B2227" t="s">
        <v>1780</v>
      </c>
      <c r="C2227" t="str">
        <f>"46002219950413004X"</f>
        <v>46002219950413004X</v>
      </c>
      <c r="D2227" t="str">
        <f>"248030403908"</f>
        <v>248030403908</v>
      </c>
      <c r="L2227">
        <v>3020</v>
      </c>
      <c r="M2227" t="s">
        <v>1780</v>
      </c>
      <c r="N2227" t="str">
        <f>"248030403908"</f>
        <v>248030403908</v>
      </c>
      <c r="O2227" t="str">
        <f>"46002219950413004X"</f>
        <v>46002219950413004X</v>
      </c>
    </row>
    <row r="2228" customFormat="1" spans="1:15">
      <c r="A2228">
        <v>3023</v>
      </c>
      <c r="B2228" t="s">
        <v>2882</v>
      </c>
      <c r="C2228" t="str">
        <f>"469023199908035625"</f>
        <v>469023199908035625</v>
      </c>
      <c r="D2228" t="str">
        <f>"248030501009"</f>
        <v>248030501009</v>
      </c>
      <c r="L2228">
        <v>3023</v>
      </c>
      <c r="M2228" t="s">
        <v>2882</v>
      </c>
      <c r="N2228" t="str">
        <f>"248030501009"</f>
        <v>248030501009</v>
      </c>
      <c r="O2228" t="str">
        <f>"469023199908035625"</f>
        <v>469023199908035625</v>
      </c>
    </row>
    <row r="2229" customFormat="1" spans="1:15">
      <c r="A2229">
        <v>3024</v>
      </c>
      <c r="B2229" t="s">
        <v>2883</v>
      </c>
      <c r="C2229" t="str">
        <f>"460104199801231229"</f>
        <v>460104199801231229</v>
      </c>
      <c r="D2229" t="str">
        <f>"248030501825"</f>
        <v>248030501825</v>
      </c>
      <c r="L2229">
        <v>3024</v>
      </c>
      <c r="M2229" t="s">
        <v>2883</v>
      </c>
      <c r="N2229" t="str">
        <f>"248030501825"</f>
        <v>248030501825</v>
      </c>
      <c r="O2229" t="str">
        <f>"460104199801231229"</f>
        <v>460104199801231229</v>
      </c>
    </row>
    <row r="2230" customFormat="1" spans="1:15">
      <c r="A2230">
        <v>3026</v>
      </c>
      <c r="B2230" t="s">
        <v>2884</v>
      </c>
      <c r="C2230" t="str">
        <f>"460006199911250647"</f>
        <v>460006199911250647</v>
      </c>
      <c r="D2230" t="str">
        <f>"248030500119"</f>
        <v>248030500119</v>
      </c>
      <c r="L2230">
        <v>3026</v>
      </c>
      <c r="M2230" t="s">
        <v>2884</v>
      </c>
      <c r="N2230" t="str">
        <f>"248030500119"</f>
        <v>248030500119</v>
      </c>
      <c r="O2230" t="str">
        <f>"460006199911250647"</f>
        <v>460006199911250647</v>
      </c>
    </row>
    <row r="2231" customFormat="1" spans="1:15">
      <c r="A2231">
        <v>3028</v>
      </c>
      <c r="B2231" t="s">
        <v>2885</v>
      </c>
      <c r="C2231" t="str">
        <f>"232321199804130227"</f>
        <v>232321199804130227</v>
      </c>
      <c r="L2231">
        <v>3028</v>
      </c>
      <c r="M2231" t="s">
        <v>2885</v>
      </c>
      <c r="O2231" t="str">
        <f>"232321199804130227"</f>
        <v>232321199804130227</v>
      </c>
    </row>
    <row r="2232" customFormat="1" spans="1:15">
      <c r="A2232">
        <v>3030</v>
      </c>
      <c r="B2232" t="s">
        <v>2886</v>
      </c>
      <c r="C2232" t="str">
        <f>"460004200112136429"</f>
        <v>460004200112136429</v>
      </c>
      <c r="D2232" t="str">
        <f>"248030102222"</f>
        <v>248030102222</v>
      </c>
      <c r="L2232">
        <v>3030</v>
      </c>
      <c r="M2232" t="s">
        <v>2886</v>
      </c>
      <c r="N2232" t="str">
        <f>"248030102222"</f>
        <v>248030102222</v>
      </c>
      <c r="O2232" t="str">
        <f>"460004200112136429"</f>
        <v>460004200112136429</v>
      </c>
    </row>
    <row r="2233" customFormat="1" spans="1:15">
      <c r="A2233">
        <v>3032</v>
      </c>
      <c r="B2233" t="s">
        <v>2887</v>
      </c>
      <c r="C2233" t="str">
        <f>"460103198503202429"</f>
        <v>460103198503202429</v>
      </c>
      <c r="L2233">
        <v>3032</v>
      </c>
      <c r="M2233" t="s">
        <v>2887</v>
      </c>
      <c r="O2233" t="str">
        <f>"460103198503202429"</f>
        <v>460103198503202429</v>
      </c>
    </row>
    <row r="2234" customFormat="1" spans="1:15">
      <c r="A2234">
        <v>3033</v>
      </c>
      <c r="B2234" t="s">
        <v>2888</v>
      </c>
      <c r="C2234" t="str">
        <f>"460027199905031327"</f>
        <v>460027199905031327</v>
      </c>
      <c r="D2234" t="str">
        <f>"248030502222"</f>
        <v>248030502222</v>
      </c>
      <c r="L2234">
        <v>3033</v>
      </c>
      <c r="M2234" t="s">
        <v>2888</v>
      </c>
      <c r="N2234" t="str">
        <f>"248030502222"</f>
        <v>248030502222</v>
      </c>
      <c r="O2234" t="str">
        <f>"460027199905031327"</f>
        <v>460027199905031327</v>
      </c>
    </row>
    <row r="2235" customFormat="1" spans="1:15">
      <c r="A2235">
        <v>3034</v>
      </c>
      <c r="B2235" t="s">
        <v>2889</v>
      </c>
      <c r="C2235" t="str">
        <f>"460004199606243448"</f>
        <v>460004199606243448</v>
      </c>
      <c r="D2235" t="str">
        <f>"248030502011"</f>
        <v>248030502011</v>
      </c>
      <c r="L2235">
        <v>3034</v>
      </c>
      <c r="M2235" t="s">
        <v>2889</v>
      </c>
      <c r="N2235" t="str">
        <f>"248030502011"</f>
        <v>248030502011</v>
      </c>
      <c r="O2235" t="str">
        <f>"460004199606243448"</f>
        <v>460004199606243448</v>
      </c>
    </row>
    <row r="2236" customFormat="1" spans="1:15">
      <c r="A2236">
        <v>3035</v>
      </c>
      <c r="B2236" t="s">
        <v>2890</v>
      </c>
      <c r="C2236" t="str">
        <f>"46000319960313002X"</f>
        <v>46000319960313002X</v>
      </c>
      <c r="L2236">
        <v>3035</v>
      </c>
      <c r="M2236" t="s">
        <v>2890</v>
      </c>
      <c r="O2236" t="str">
        <f>"46000319960313002X"</f>
        <v>46000319960313002X</v>
      </c>
    </row>
    <row r="2237" customFormat="1" spans="1:15">
      <c r="A2237">
        <v>3036</v>
      </c>
      <c r="B2237" t="s">
        <v>2891</v>
      </c>
      <c r="C2237" t="str">
        <f>"460033199202016574"</f>
        <v>460033199202016574</v>
      </c>
      <c r="L2237">
        <v>3036</v>
      </c>
      <c r="M2237" t="s">
        <v>2891</v>
      </c>
      <c r="O2237" t="str">
        <f>"460033199202016574"</f>
        <v>460033199202016574</v>
      </c>
    </row>
    <row r="2238" customFormat="1" spans="1:15">
      <c r="A2238">
        <v>3038</v>
      </c>
      <c r="B2238" t="s">
        <v>2892</v>
      </c>
      <c r="C2238" t="str">
        <f>"460104199608041810"</f>
        <v>460104199608041810</v>
      </c>
      <c r="D2238" t="str">
        <f>"248030402224"</f>
        <v>248030402224</v>
      </c>
      <c r="L2238">
        <v>3038</v>
      </c>
      <c r="M2238" t="s">
        <v>2892</v>
      </c>
      <c r="N2238" t="str">
        <f>"248030402224"</f>
        <v>248030402224</v>
      </c>
      <c r="O2238" t="str">
        <f>"460104199608041810"</f>
        <v>460104199608041810</v>
      </c>
    </row>
    <row r="2239" customFormat="1" spans="1:15">
      <c r="A2239">
        <v>3039</v>
      </c>
      <c r="B2239" t="s">
        <v>2893</v>
      </c>
      <c r="C2239" t="str">
        <f>"460035199601112312"</f>
        <v>460035199601112312</v>
      </c>
      <c r="D2239" t="str">
        <f>"248030202327"</f>
        <v>248030202327</v>
      </c>
      <c r="L2239">
        <v>3039</v>
      </c>
      <c r="M2239" t="s">
        <v>2893</v>
      </c>
      <c r="N2239" t="str">
        <f>"248030202327"</f>
        <v>248030202327</v>
      </c>
      <c r="O2239" t="str">
        <f>"460035199601112312"</f>
        <v>460035199601112312</v>
      </c>
    </row>
    <row r="2240" customFormat="1" spans="1:15">
      <c r="A2240">
        <v>3041</v>
      </c>
      <c r="B2240" t="s">
        <v>2894</v>
      </c>
      <c r="C2240" t="str">
        <f>"362329200205074521"</f>
        <v>362329200205074521</v>
      </c>
      <c r="L2240">
        <v>3041</v>
      </c>
      <c r="M2240" t="s">
        <v>2894</v>
      </c>
      <c r="O2240" t="str">
        <f>"362329200205074521"</f>
        <v>362329200205074521</v>
      </c>
    </row>
    <row r="2241" customFormat="1" spans="1:15">
      <c r="A2241">
        <v>3042</v>
      </c>
      <c r="B2241" t="s">
        <v>36</v>
      </c>
      <c r="C2241" t="str">
        <f>"140121199306245529"</f>
        <v>140121199306245529</v>
      </c>
      <c r="D2241" t="str">
        <f>"248030400729"</f>
        <v>248030400729</v>
      </c>
      <c r="L2241">
        <v>3042</v>
      </c>
      <c r="M2241" t="s">
        <v>36</v>
      </c>
      <c r="N2241" t="str">
        <f>"248030400729"</f>
        <v>248030400729</v>
      </c>
      <c r="O2241" t="str">
        <f>"140121199306245529"</f>
        <v>140121199306245529</v>
      </c>
    </row>
    <row r="2242" customFormat="1" spans="1:15">
      <c r="A2242">
        <v>3043</v>
      </c>
      <c r="B2242" t="s">
        <v>2895</v>
      </c>
      <c r="C2242" t="str">
        <f>"460200199811094707"</f>
        <v>460200199811094707</v>
      </c>
      <c r="D2242" t="str">
        <f>"248030100910"</f>
        <v>248030100910</v>
      </c>
      <c r="L2242">
        <v>3043</v>
      </c>
      <c r="M2242" t="s">
        <v>2895</v>
      </c>
      <c r="N2242" t="str">
        <f>"248030100910"</f>
        <v>248030100910</v>
      </c>
      <c r="O2242" t="str">
        <f>"460200199811094707"</f>
        <v>460200199811094707</v>
      </c>
    </row>
    <row r="2243" customFormat="1" spans="1:15">
      <c r="A2243">
        <v>3044</v>
      </c>
      <c r="B2243" t="s">
        <v>2896</v>
      </c>
      <c r="C2243" t="str">
        <f>"460003199901112823"</f>
        <v>460003199901112823</v>
      </c>
      <c r="L2243">
        <v>3044</v>
      </c>
      <c r="M2243" t="s">
        <v>2896</v>
      </c>
      <c r="O2243" t="str">
        <f>"460003199901112823"</f>
        <v>460003199901112823</v>
      </c>
    </row>
    <row r="2244" customFormat="1" spans="1:15">
      <c r="A2244">
        <v>3045</v>
      </c>
      <c r="B2244" t="s">
        <v>2897</v>
      </c>
      <c r="C2244" t="str">
        <f>"469022200003140323"</f>
        <v>469022200003140323</v>
      </c>
      <c r="D2244" t="str">
        <f>"248030201212"</f>
        <v>248030201212</v>
      </c>
      <c r="L2244">
        <v>3045</v>
      </c>
      <c r="M2244" t="s">
        <v>2897</v>
      </c>
      <c r="N2244" t="str">
        <f>"248030201212"</f>
        <v>248030201212</v>
      </c>
      <c r="O2244" t="str">
        <f>"469022200003140323"</f>
        <v>469022200003140323</v>
      </c>
    </row>
    <row r="2245" customFormat="1" spans="1:15">
      <c r="A2245">
        <v>3047</v>
      </c>
      <c r="B2245" t="s">
        <v>280</v>
      </c>
      <c r="C2245" t="str">
        <f>"460108200006042622"</f>
        <v>460108200006042622</v>
      </c>
      <c r="D2245" t="str">
        <f>"248030300124"</f>
        <v>248030300124</v>
      </c>
      <c r="L2245">
        <v>3047</v>
      </c>
      <c r="M2245" t="s">
        <v>280</v>
      </c>
      <c r="N2245" t="str">
        <f>"248030300124"</f>
        <v>248030300124</v>
      </c>
      <c r="O2245" t="str">
        <f>"460108200006042622"</f>
        <v>460108200006042622</v>
      </c>
    </row>
    <row r="2246" customFormat="1" spans="1:15">
      <c r="A2246">
        <v>3049</v>
      </c>
      <c r="B2246" t="s">
        <v>2898</v>
      </c>
      <c r="C2246" t="str">
        <f>"460031199903310028"</f>
        <v>460031199903310028</v>
      </c>
      <c r="D2246" t="str">
        <f>"248030104609"</f>
        <v>248030104609</v>
      </c>
      <c r="L2246">
        <v>3049</v>
      </c>
      <c r="M2246" t="s">
        <v>2898</v>
      </c>
      <c r="N2246" t="str">
        <f>"248030104609"</f>
        <v>248030104609</v>
      </c>
      <c r="O2246" t="str">
        <f>"460031199903310028"</f>
        <v>460031199903310028</v>
      </c>
    </row>
    <row r="2247" customFormat="1" spans="1:15">
      <c r="A2247">
        <v>3052</v>
      </c>
      <c r="B2247" t="s">
        <v>2899</v>
      </c>
      <c r="C2247" t="str">
        <f>"460003199901150627"</f>
        <v>460003199901150627</v>
      </c>
      <c r="D2247" t="str">
        <f>"248030103008"</f>
        <v>248030103008</v>
      </c>
      <c r="L2247">
        <v>3052</v>
      </c>
      <c r="M2247" t="s">
        <v>2899</v>
      </c>
      <c r="N2247" t="str">
        <f>"248030103008"</f>
        <v>248030103008</v>
      </c>
      <c r="O2247" t="str">
        <f>"460003199901150627"</f>
        <v>460003199901150627</v>
      </c>
    </row>
    <row r="2248" customFormat="1" spans="1:15">
      <c r="A2248">
        <v>3054</v>
      </c>
      <c r="B2248" t="s">
        <v>2900</v>
      </c>
      <c r="C2248" t="str">
        <f>"460035199605042112"</f>
        <v>460035199605042112</v>
      </c>
      <c r="D2248" t="str">
        <f>"248030201309"</f>
        <v>248030201309</v>
      </c>
      <c r="L2248">
        <v>3054</v>
      </c>
      <c r="M2248" t="s">
        <v>2900</v>
      </c>
      <c r="N2248" t="str">
        <f>"248030201309"</f>
        <v>248030201309</v>
      </c>
      <c r="O2248" t="str">
        <f>"460035199605042112"</f>
        <v>460035199605042112</v>
      </c>
    </row>
    <row r="2249" customFormat="1" spans="1:15">
      <c r="A2249">
        <v>3055</v>
      </c>
      <c r="B2249" t="s">
        <v>310</v>
      </c>
      <c r="C2249" t="str">
        <f>"460005200004110025"</f>
        <v>460005200004110025</v>
      </c>
      <c r="D2249" t="str">
        <f>"248030100315"</f>
        <v>248030100315</v>
      </c>
      <c r="L2249">
        <v>3055</v>
      </c>
      <c r="M2249" t="s">
        <v>310</v>
      </c>
      <c r="N2249" t="str">
        <f>"248030100315"</f>
        <v>248030100315</v>
      </c>
      <c r="O2249" t="str">
        <f>"460005200004110025"</f>
        <v>460005200004110025</v>
      </c>
    </row>
    <row r="2250" customFormat="1" spans="1:15">
      <c r="A2250">
        <v>3056</v>
      </c>
      <c r="B2250" t="s">
        <v>2901</v>
      </c>
      <c r="C2250" t="str">
        <f>"460003200010160229"</f>
        <v>460003200010160229</v>
      </c>
      <c r="D2250" t="str">
        <f>"248030502322"</f>
        <v>248030502322</v>
      </c>
      <c r="L2250">
        <v>3056</v>
      </c>
      <c r="M2250" t="s">
        <v>2901</v>
      </c>
      <c r="N2250" t="str">
        <f>"248030502322"</f>
        <v>248030502322</v>
      </c>
      <c r="O2250" t="str">
        <f>"460003200010160229"</f>
        <v>460003200010160229</v>
      </c>
    </row>
    <row r="2251" customFormat="1" spans="1:15">
      <c r="A2251">
        <v>3057</v>
      </c>
      <c r="B2251" t="s">
        <v>2902</v>
      </c>
      <c r="C2251" t="str">
        <f>"469023200004160621"</f>
        <v>469023200004160621</v>
      </c>
      <c r="D2251" t="str">
        <f>"248030104007"</f>
        <v>248030104007</v>
      </c>
      <c r="L2251">
        <v>3057</v>
      </c>
      <c r="M2251" t="s">
        <v>2902</v>
      </c>
      <c r="N2251" t="str">
        <f>"248030104007"</f>
        <v>248030104007</v>
      </c>
      <c r="O2251" t="str">
        <f>"469023200004160621"</f>
        <v>469023200004160621</v>
      </c>
    </row>
    <row r="2252" customFormat="1" spans="1:15">
      <c r="A2252">
        <v>3059</v>
      </c>
      <c r="B2252" t="s">
        <v>2903</v>
      </c>
      <c r="C2252" t="str">
        <f>"460031199706204824"</f>
        <v>460031199706204824</v>
      </c>
      <c r="D2252" t="str">
        <f>"248030203503"</f>
        <v>248030203503</v>
      </c>
      <c r="L2252">
        <v>3059</v>
      </c>
      <c r="M2252" t="s">
        <v>2903</v>
      </c>
      <c r="N2252" t="str">
        <f>"248030203503"</f>
        <v>248030203503</v>
      </c>
      <c r="O2252" t="str">
        <f>"460031199706204824"</f>
        <v>460031199706204824</v>
      </c>
    </row>
    <row r="2253" customFormat="1" spans="1:15">
      <c r="A2253">
        <v>3061</v>
      </c>
      <c r="B2253" t="s">
        <v>2904</v>
      </c>
      <c r="C2253" t="str">
        <f>"460007199505105985"</f>
        <v>460007199505105985</v>
      </c>
      <c r="D2253" t="str">
        <f>"248030301115"</f>
        <v>248030301115</v>
      </c>
      <c r="L2253">
        <v>3061</v>
      </c>
      <c r="M2253" t="s">
        <v>2904</v>
      </c>
      <c r="N2253" t="str">
        <f>"248030301115"</f>
        <v>248030301115</v>
      </c>
      <c r="O2253" t="str">
        <f>"460007199505105985"</f>
        <v>460007199505105985</v>
      </c>
    </row>
    <row r="2254" customFormat="1" spans="1:15">
      <c r="A2254">
        <v>3062</v>
      </c>
      <c r="B2254" t="s">
        <v>2905</v>
      </c>
      <c r="C2254" t="str">
        <f>"140511199610151614"</f>
        <v>140511199610151614</v>
      </c>
      <c r="D2254" t="str">
        <f>"248030201102"</f>
        <v>248030201102</v>
      </c>
      <c r="L2254">
        <v>3062</v>
      </c>
      <c r="M2254" t="s">
        <v>2905</v>
      </c>
      <c r="N2254" t="str">
        <f>"248030201102"</f>
        <v>248030201102</v>
      </c>
      <c r="O2254" t="str">
        <f>"140511199610151614"</f>
        <v>140511199610151614</v>
      </c>
    </row>
    <row r="2255" customFormat="1" spans="1:15">
      <c r="A2255">
        <v>3063</v>
      </c>
      <c r="B2255" t="s">
        <v>2906</v>
      </c>
      <c r="C2255" t="str">
        <f>"460003199301013020"</f>
        <v>460003199301013020</v>
      </c>
      <c r="D2255" t="str">
        <f>"248030200106"</f>
        <v>248030200106</v>
      </c>
      <c r="L2255">
        <v>3063</v>
      </c>
      <c r="M2255" t="s">
        <v>2906</v>
      </c>
      <c r="N2255" t="str">
        <f>"248030200106"</f>
        <v>248030200106</v>
      </c>
      <c r="O2255" t="str">
        <f>"460003199301013020"</f>
        <v>460003199301013020</v>
      </c>
    </row>
    <row r="2256" customFormat="1" spans="1:15">
      <c r="A2256">
        <v>3064</v>
      </c>
      <c r="B2256" t="s">
        <v>2907</v>
      </c>
      <c r="C2256" t="str">
        <f>"460003200003174622"</f>
        <v>460003200003174622</v>
      </c>
      <c r="D2256" t="str">
        <f>"248030101608"</f>
        <v>248030101608</v>
      </c>
      <c r="L2256">
        <v>3064</v>
      </c>
      <c r="M2256" t="s">
        <v>2907</v>
      </c>
      <c r="N2256" t="str">
        <f>"248030101608"</f>
        <v>248030101608</v>
      </c>
      <c r="O2256" t="str">
        <f>"460003200003174622"</f>
        <v>460003200003174622</v>
      </c>
    </row>
    <row r="2257" customFormat="1" spans="1:15">
      <c r="A2257">
        <v>3065</v>
      </c>
      <c r="B2257" t="s">
        <v>2908</v>
      </c>
      <c r="C2257" t="str">
        <f>"460031200110182017"</f>
        <v>460031200110182017</v>
      </c>
      <c r="D2257" t="str">
        <f>"248030402521"</f>
        <v>248030402521</v>
      </c>
      <c r="L2257">
        <v>3065</v>
      </c>
      <c r="M2257" t="s">
        <v>2908</v>
      </c>
      <c r="N2257" t="str">
        <f>"248030402521"</f>
        <v>248030402521</v>
      </c>
      <c r="O2257" t="str">
        <f>"460031200110182017"</f>
        <v>460031200110182017</v>
      </c>
    </row>
    <row r="2258" customFormat="1" spans="1:15">
      <c r="A2258">
        <v>3066</v>
      </c>
      <c r="B2258" t="s">
        <v>2909</v>
      </c>
      <c r="C2258" t="str">
        <f>"46000320000107322X"</f>
        <v>46000320000107322X</v>
      </c>
      <c r="D2258" t="str">
        <f>"248030202703"</f>
        <v>248030202703</v>
      </c>
      <c r="L2258">
        <v>3066</v>
      </c>
      <c r="M2258" t="s">
        <v>2909</v>
      </c>
      <c r="N2258" t="str">
        <f>"248030202703"</f>
        <v>248030202703</v>
      </c>
      <c r="O2258" t="str">
        <f>"46000320000107322X"</f>
        <v>46000320000107322X</v>
      </c>
    </row>
    <row r="2259" customFormat="1" spans="1:15">
      <c r="A2259">
        <v>3069</v>
      </c>
      <c r="B2259" t="s">
        <v>2910</v>
      </c>
      <c r="C2259" t="str">
        <f>"460002199811031548"</f>
        <v>460002199811031548</v>
      </c>
      <c r="D2259" t="str">
        <f>"248030300814"</f>
        <v>248030300814</v>
      </c>
      <c r="L2259">
        <v>3069</v>
      </c>
      <c r="M2259" t="s">
        <v>2910</v>
      </c>
      <c r="N2259" t="str">
        <f>"248030300814"</f>
        <v>248030300814</v>
      </c>
      <c r="O2259" t="str">
        <f>"460002199811031548"</f>
        <v>460002199811031548</v>
      </c>
    </row>
    <row r="2260" customFormat="1" spans="1:15">
      <c r="A2260">
        <v>3070</v>
      </c>
      <c r="B2260" t="s">
        <v>2911</v>
      </c>
      <c r="C2260" t="str">
        <f>"460007199703087220"</f>
        <v>460007199703087220</v>
      </c>
      <c r="D2260" t="str">
        <f>"248030203620"</f>
        <v>248030203620</v>
      </c>
      <c r="L2260">
        <v>3070</v>
      </c>
      <c r="M2260" t="s">
        <v>2911</v>
      </c>
      <c r="N2260" t="str">
        <f>"248030203620"</f>
        <v>248030203620</v>
      </c>
      <c r="O2260" t="str">
        <f>"460007199703087220"</f>
        <v>460007199703087220</v>
      </c>
    </row>
    <row r="2261" customFormat="1" spans="1:15">
      <c r="A2261">
        <v>3071</v>
      </c>
      <c r="B2261" t="s">
        <v>2912</v>
      </c>
      <c r="C2261" t="str">
        <f>"46000619970325132X"</f>
        <v>46000619970325132X</v>
      </c>
      <c r="D2261" t="str">
        <f>"248030403706"</f>
        <v>248030403706</v>
      </c>
      <c r="L2261">
        <v>3071</v>
      </c>
      <c r="M2261" t="s">
        <v>2912</v>
      </c>
      <c r="N2261" t="str">
        <f>"248030403706"</f>
        <v>248030403706</v>
      </c>
      <c r="O2261" t="str">
        <f>"46000619970325132X"</f>
        <v>46000619970325132X</v>
      </c>
    </row>
    <row r="2262" customFormat="1" spans="1:15">
      <c r="A2262">
        <v>3073</v>
      </c>
      <c r="B2262" t="s">
        <v>2913</v>
      </c>
      <c r="C2262" t="str">
        <f>"412326198710156929"</f>
        <v>412326198710156929</v>
      </c>
      <c r="D2262" t="str">
        <f>"248030104126"</f>
        <v>248030104126</v>
      </c>
      <c r="L2262">
        <v>3073</v>
      </c>
      <c r="M2262" t="s">
        <v>2913</v>
      </c>
      <c r="N2262" t="str">
        <f>"248030104126"</f>
        <v>248030104126</v>
      </c>
      <c r="O2262" t="str">
        <f>"412326198710156929"</f>
        <v>412326198710156929</v>
      </c>
    </row>
    <row r="2263" customFormat="1" spans="1:15">
      <c r="A2263">
        <v>3074</v>
      </c>
      <c r="B2263" t="s">
        <v>2914</v>
      </c>
      <c r="C2263" t="str">
        <f>"150302199705032014"</f>
        <v>150302199705032014</v>
      </c>
      <c r="D2263" t="str">
        <f>"248030301617"</f>
        <v>248030301617</v>
      </c>
      <c r="L2263">
        <v>3074</v>
      </c>
      <c r="M2263" t="s">
        <v>2914</v>
      </c>
      <c r="N2263" t="str">
        <f>"248030301617"</f>
        <v>248030301617</v>
      </c>
      <c r="O2263" t="str">
        <f>"150302199705032014"</f>
        <v>150302199705032014</v>
      </c>
    </row>
    <row r="2264" customFormat="1" spans="1:15">
      <c r="A2264">
        <v>3076</v>
      </c>
      <c r="B2264" t="s">
        <v>2915</v>
      </c>
      <c r="C2264" t="str">
        <f>"469003199204165186"</f>
        <v>469003199204165186</v>
      </c>
      <c r="L2264">
        <v>3076</v>
      </c>
      <c r="M2264" t="s">
        <v>2915</v>
      </c>
      <c r="O2264" t="str">
        <f>"469003199204165186"</f>
        <v>469003199204165186</v>
      </c>
    </row>
    <row r="2265" customFormat="1" spans="1:15">
      <c r="A2265">
        <v>3077</v>
      </c>
      <c r="B2265" t="s">
        <v>2916</v>
      </c>
      <c r="C2265" t="str">
        <f>"460027199409237027"</f>
        <v>460027199409237027</v>
      </c>
      <c r="L2265">
        <v>3077</v>
      </c>
      <c r="M2265" t="s">
        <v>2916</v>
      </c>
      <c r="O2265" t="str">
        <f>"460027199409237027"</f>
        <v>460027199409237027</v>
      </c>
    </row>
    <row r="2266" customFormat="1" spans="1:15">
      <c r="A2266">
        <v>3079</v>
      </c>
      <c r="B2266" t="s">
        <v>2917</v>
      </c>
      <c r="C2266" t="str">
        <f>"440883199608210063"</f>
        <v>440883199608210063</v>
      </c>
      <c r="D2266" t="str">
        <f>"248030401128"</f>
        <v>248030401128</v>
      </c>
      <c r="L2266">
        <v>3079</v>
      </c>
      <c r="M2266" t="s">
        <v>2917</v>
      </c>
      <c r="N2266" t="str">
        <f>"248030401128"</f>
        <v>248030401128</v>
      </c>
      <c r="O2266" t="str">
        <f>"440883199608210063"</f>
        <v>440883199608210063</v>
      </c>
    </row>
    <row r="2267" customFormat="1" spans="1:15">
      <c r="A2267">
        <v>3080</v>
      </c>
      <c r="B2267" t="s">
        <v>2918</v>
      </c>
      <c r="C2267" t="str">
        <f>"460004199410154048"</f>
        <v>460004199410154048</v>
      </c>
      <c r="D2267" t="str">
        <f>"248030302522"</f>
        <v>248030302522</v>
      </c>
      <c r="L2267">
        <v>3080</v>
      </c>
      <c r="M2267" t="s">
        <v>2918</v>
      </c>
      <c r="N2267" t="str">
        <f>"248030302522"</f>
        <v>248030302522</v>
      </c>
      <c r="O2267" t="str">
        <f>"460004199410154048"</f>
        <v>460004199410154048</v>
      </c>
    </row>
    <row r="2268" customFormat="1" spans="1:15">
      <c r="A2268">
        <v>3081</v>
      </c>
      <c r="B2268" t="s">
        <v>2919</v>
      </c>
      <c r="C2268" t="str">
        <f>"460004199106052637"</f>
        <v>460004199106052637</v>
      </c>
      <c r="D2268" t="str">
        <f>"248030202104"</f>
        <v>248030202104</v>
      </c>
      <c r="L2268">
        <v>3081</v>
      </c>
      <c r="M2268" t="s">
        <v>2919</v>
      </c>
      <c r="N2268" t="str">
        <f>"248030202104"</f>
        <v>248030202104</v>
      </c>
      <c r="O2268" t="str">
        <f>"460004199106052637"</f>
        <v>460004199106052637</v>
      </c>
    </row>
    <row r="2269" customFormat="1" spans="1:15">
      <c r="A2269">
        <v>3082</v>
      </c>
      <c r="B2269" t="s">
        <v>2920</v>
      </c>
      <c r="C2269" t="str">
        <f>"450721199608218185"</f>
        <v>450721199608218185</v>
      </c>
      <c r="D2269" t="str">
        <f>"248030202507"</f>
        <v>248030202507</v>
      </c>
      <c r="L2269">
        <v>3082</v>
      </c>
      <c r="M2269" t="s">
        <v>2920</v>
      </c>
      <c r="N2269" t="str">
        <f>"248030202507"</f>
        <v>248030202507</v>
      </c>
      <c r="O2269" t="str">
        <f>"450721199608218185"</f>
        <v>450721199608218185</v>
      </c>
    </row>
    <row r="2270" customFormat="1" spans="1:15">
      <c r="A2270">
        <v>3083</v>
      </c>
      <c r="B2270" t="s">
        <v>2921</v>
      </c>
      <c r="C2270" t="str">
        <f>"460006198505220018"</f>
        <v>460006198505220018</v>
      </c>
      <c r="L2270">
        <v>3083</v>
      </c>
      <c r="M2270" t="s">
        <v>2921</v>
      </c>
      <c r="O2270" t="str">
        <f>"460006198505220018"</f>
        <v>460006198505220018</v>
      </c>
    </row>
    <row r="2271" customFormat="1" spans="1:15">
      <c r="A2271">
        <v>3084</v>
      </c>
      <c r="B2271" t="s">
        <v>2922</v>
      </c>
      <c r="C2271" t="str">
        <f>"510722200112145865"</f>
        <v>510722200112145865</v>
      </c>
      <c r="D2271" t="str">
        <f>"248030402730"</f>
        <v>248030402730</v>
      </c>
      <c r="L2271">
        <v>3084</v>
      </c>
      <c r="M2271" t="s">
        <v>2922</v>
      </c>
      <c r="N2271" t="str">
        <f>"248030402730"</f>
        <v>248030402730</v>
      </c>
      <c r="O2271" t="str">
        <f>"510722200112145865"</f>
        <v>510722200112145865</v>
      </c>
    </row>
    <row r="2272" customFormat="1" spans="1:15">
      <c r="A2272">
        <v>3085</v>
      </c>
      <c r="B2272" t="s">
        <v>2923</v>
      </c>
      <c r="C2272" t="str">
        <f>"362202198912133038"</f>
        <v>362202198912133038</v>
      </c>
      <c r="L2272">
        <v>3085</v>
      </c>
      <c r="M2272" t="s">
        <v>2923</v>
      </c>
      <c r="O2272" t="str">
        <f>"362202198912133038"</f>
        <v>362202198912133038</v>
      </c>
    </row>
    <row r="2273" customFormat="1" spans="1:15">
      <c r="A2273">
        <v>3087</v>
      </c>
      <c r="B2273" t="s">
        <v>2924</v>
      </c>
      <c r="C2273" t="str">
        <f>"460003199902283325"</f>
        <v>460003199902283325</v>
      </c>
      <c r="L2273">
        <v>3087</v>
      </c>
      <c r="M2273" t="s">
        <v>2924</v>
      </c>
      <c r="O2273" t="str">
        <f>"460003199902283325"</f>
        <v>460003199902283325</v>
      </c>
    </row>
    <row r="2274" customFormat="1" spans="1:15">
      <c r="A2274">
        <v>3088</v>
      </c>
      <c r="B2274" t="s">
        <v>2925</v>
      </c>
      <c r="C2274" t="str">
        <f>"460028199602086829"</f>
        <v>460028199602086829</v>
      </c>
      <c r="L2274">
        <v>3088</v>
      </c>
      <c r="M2274" t="s">
        <v>2925</v>
      </c>
      <c r="O2274" t="str">
        <f>"460028199602086829"</f>
        <v>460028199602086829</v>
      </c>
    </row>
    <row r="2275" customFormat="1" spans="1:15">
      <c r="A2275">
        <v>3089</v>
      </c>
      <c r="B2275" t="s">
        <v>2926</v>
      </c>
      <c r="C2275" t="str">
        <f>"460003199904063027"</f>
        <v>460003199904063027</v>
      </c>
      <c r="D2275" t="str">
        <f>"248030100614"</f>
        <v>248030100614</v>
      </c>
      <c r="L2275">
        <v>3089</v>
      </c>
      <c r="M2275" t="s">
        <v>2926</v>
      </c>
      <c r="N2275" t="str">
        <f>"248030100614"</f>
        <v>248030100614</v>
      </c>
      <c r="O2275" t="str">
        <f>"460003199904063027"</f>
        <v>460003199904063027</v>
      </c>
    </row>
    <row r="2276" customFormat="1" spans="1:15">
      <c r="A2276">
        <v>3090</v>
      </c>
      <c r="B2276" t="s">
        <v>2927</v>
      </c>
      <c r="C2276" t="str">
        <f>"460031199101156022"</f>
        <v>460031199101156022</v>
      </c>
      <c r="L2276">
        <v>3090</v>
      </c>
      <c r="M2276" t="s">
        <v>2927</v>
      </c>
      <c r="O2276" t="str">
        <f>"460031199101156022"</f>
        <v>460031199101156022</v>
      </c>
    </row>
    <row r="2277" customFormat="1" spans="1:15">
      <c r="A2277">
        <v>3091</v>
      </c>
      <c r="B2277" t="s">
        <v>2928</v>
      </c>
      <c r="C2277" t="str">
        <f>"610427199801181929"</f>
        <v>610427199801181929</v>
      </c>
      <c r="D2277" t="str">
        <f>"248030402118"</f>
        <v>248030402118</v>
      </c>
      <c r="L2277">
        <v>3091</v>
      </c>
      <c r="M2277" t="s">
        <v>2928</v>
      </c>
      <c r="N2277" t="str">
        <f>"248030402118"</f>
        <v>248030402118</v>
      </c>
      <c r="O2277" t="str">
        <f>"610427199801181929"</f>
        <v>610427199801181929</v>
      </c>
    </row>
    <row r="2278" customFormat="1" spans="1:15">
      <c r="A2278">
        <v>3093</v>
      </c>
      <c r="B2278" t="s">
        <v>2929</v>
      </c>
      <c r="C2278" t="str">
        <f>"411302200110030167"</f>
        <v>411302200110030167</v>
      </c>
      <c r="D2278" t="str">
        <f>"248030500323"</f>
        <v>248030500323</v>
      </c>
      <c r="L2278">
        <v>3093</v>
      </c>
      <c r="M2278" t="s">
        <v>2929</v>
      </c>
      <c r="N2278" t="str">
        <f>"248030500323"</f>
        <v>248030500323</v>
      </c>
      <c r="O2278" t="str">
        <f>"411302200110030167"</f>
        <v>411302200110030167</v>
      </c>
    </row>
    <row r="2279" customFormat="1" spans="1:15">
      <c r="A2279">
        <v>3094</v>
      </c>
      <c r="B2279" t="s">
        <v>2930</v>
      </c>
      <c r="C2279" t="str">
        <f>"460003199506042861"</f>
        <v>460003199506042861</v>
      </c>
      <c r="D2279" t="str">
        <f>"248030502924"</f>
        <v>248030502924</v>
      </c>
      <c r="L2279">
        <v>3094</v>
      </c>
      <c r="M2279" t="s">
        <v>2930</v>
      </c>
      <c r="N2279" t="str">
        <f>"248030502924"</f>
        <v>248030502924</v>
      </c>
      <c r="O2279" t="str">
        <f>"460003199506042861"</f>
        <v>460003199506042861</v>
      </c>
    </row>
    <row r="2280" customFormat="1" spans="1:15">
      <c r="A2280">
        <v>3095</v>
      </c>
      <c r="B2280" t="s">
        <v>2931</v>
      </c>
      <c r="C2280" t="str">
        <f>"130105199104171523"</f>
        <v>130105199104171523</v>
      </c>
      <c r="L2280">
        <v>3095</v>
      </c>
      <c r="M2280" t="s">
        <v>2931</v>
      </c>
      <c r="O2280" t="str">
        <f>"130105199104171523"</f>
        <v>130105199104171523</v>
      </c>
    </row>
    <row r="2281" customFormat="1" spans="1:15">
      <c r="A2281">
        <v>3096</v>
      </c>
      <c r="B2281" t="s">
        <v>2932</v>
      </c>
      <c r="C2281" t="str">
        <f>"460004199612120620"</f>
        <v>460004199612120620</v>
      </c>
      <c r="D2281" t="str">
        <f>"248030502406"</f>
        <v>248030502406</v>
      </c>
      <c r="L2281">
        <v>3096</v>
      </c>
      <c r="M2281" t="s">
        <v>2932</v>
      </c>
      <c r="N2281" t="str">
        <f>"248030502406"</f>
        <v>248030502406</v>
      </c>
      <c r="O2281" t="str">
        <f>"460004199612120620"</f>
        <v>460004199612120620</v>
      </c>
    </row>
    <row r="2282" customFormat="1" spans="1:15">
      <c r="A2282">
        <v>3097</v>
      </c>
      <c r="B2282" t="s">
        <v>2933</v>
      </c>
      <c r="C2282" t="str">
        <f>"460003200001036621"</f>
        <v>460003200001036621</v>
      </c>
      <c r="L2282">
        <v>3097</v>
      </c>
      <c r="M2282" t="s">
        <v>2933</v>
      </c>
      <c r="O2282" t="str">
        <f>"460003200001036621"</f>
        <v>460003200001036621</v>
      </c>
    </row>
    <row r="2283" customFormat="1" spans="1:15">
      <c r="A2283">
        <v>3098</v>
      </c>
      <c r="B2283" t="s">
        <v>2934</v>
      </c>
      <c r="C2283" t="str">
        <f>"460003200110186610"</f>
        <v>460003200110186610</v>
      </c>
      <c r="D2283" t="str">
        <f>"248030402428"</f>
        <v>248030402428</v>
      </c>
      <c r="L2283">
        <v>3098</v>
      </c>
      <c r="M2283" t="s">
        <v>2934</v>
      </c>
      <c r="N2283" t="str">
        <f>"248030402428"</f>
        <v>248030402428</v>
      </c>
      <c r="O2283" t="str">
        <f>"460003200110186610"</f>
        <v>460003200110186610</v>
      </c>
    </row>
    <row r="2284" customFormat="1" spans="1:15">
      <c r="A2284">
        <v>3099</v>
      </c>
      <c r="B2284" t="s">
        <v>2935</v>
      </c>
      <c r="C2284" t="str">
        <f>"469023200110116245"</f>
        <v>469023200110116245</v>
      </c>
      <c r="D2284" t="str">
        <f>"248030403712"</f>
        <v>248030403712</v>
      </c>
      <c r="L2284">
        <v>3099</v>
      </c>
      <c r="M2284" t="s">
        <v>2935</v>
      </c>
      <c r="N2284" t="str">
        <f>"248030403712"</f>
        <v>248030403712</v>
      </c>
      <c r="O2284" t="str">
        <f>"469023200110116245"</f>
        <v>469023200110116245</v>
      </c>
    </row>
    <row r="2285" customFormat="1" spans="1:15">
      <c r="A2285">
        <v>3102</v>
      </c>
      <c r="B2285" t="s">
        <v>2936</v>
      </c>
      <c r="C2285" t="str">
        <f>"460034199904186320"</f>
        <v>460034199904186320</v>
      </c>
      <c r="L2285">
        <v>3102</v>
      </c>
      <c r="M2285" t="s">
        <v>2936</v>
      </c>
      <c r="O2285" t="str">
        <f>"460034199904186320"</f>
        <v>460034199904186320</v>
      </c>
    </row>
    <row r="2286" customFormat="1" spans="1:15">
      <c r="A2286">
        <v>3103</v>
      </c>
      <c r="B2286" t="s">
        <v>2937</v>
      </c>
      <c r="C2286" t="str">
        <f>"46900319950205672X"</f>
        <v>46900319950205672X</v>
      </c>
      <c r="D2286" t="str">
        <f>"248030200920"</f>
        <v>248030200920</v>
      </c>
      <c r="L2286">
        <v>3103</v>
      </c>
      <c r="M2286" t="s">
        <v>2937</v>
      </c>
      <c r="N2286" t="str">
        <f>"248030200920"</f>
        <v>248030200920</v>
      </c>
      <c r="O2286" t="str">
        <f>"46900319950205672X"</f>
        <v>46900319950205672X</v>
      </c>
    </row>
    <row r="2287" customFormat="1" spans="1:15">
      <c r="A2287">
        <v>3105</v>
      </c>
      <c r="B2287" t="s">
        <v>903</v>
      </c>
      <c r="C2287" t="str">
        <f>"460004200010274425"</f>
        <v>460004200010274425</v>
      </c>
      <c r="D2287" t="str">
        <f>"248030503821"</f>
        <v>248030503821</v>
      </c>
      <c r="L2287">
        <v>3105</v>
      </c>
      <c r="M2287" t="s">
        <v>903</v>
      </c>
      <c r="N2287" t="str">
        <f>"248030503821"</f>
        <v>248030503821</v>
      </c>
      <c r="O2287" t="str">
        <f>"460004200010274425"</f>
        <v>460004200010274425</v>
      </c>
    </row>
    <row r="2288" customFormat="1" spans="1:15">
      <c r="A2288">
        <v>3106</v>
      </c>
      <c r="B2288" t="s">
        <v>2938</v>
      </c>
      <c r="C2288" t="str">
        <f>"460001198808150748"</f>
        <v>460001198808150748</v>
      </c>
      <c r="D2288" t="str">
        <f>"248030500109"</f>
        <v>248030500109</v>
      </c>
      <c r="L2288">
        <v>3106</v>
      </c>
      <c r="M2288" t="s">
        <v>2938</v>
      </c>
      <c r="N2288" t="str">
        <f>"248030500109"</f>
        <v>248030500109</v>
      </c>
      <c r="O2288" t="str">
        <f>"460001198808150748"</f>
        <v>460001198808150748</v>
      </c>
    </row>
    <row r="2289" customFormat="1" spans="1:15">
      <c r="A2289">
        <v>3107</v>
      </c>
      <c r="B2289" t="s">
        <v>2939</v>
      </c>
      <c r="C2289" t="str">
        <f>"460104200007060624"</f>
        <v>460104200007060624</v>
      </c>
      <c r="D2289" t="str">
        <f>"248030301109"</f>
        <v>248030301109</v>
      </c>
      <c r="L2289">
        <v>3107</v>
      </c>
      <c r="M2289" t="s">
        <v>2939</v>
      </c>
      <c r="N2289" t="str">
        <f>"248030301109"</f>
        <v>248030301109</v>
      </c>
      <c r="O2289" t="str">
        <f>"460104200007060624"</f>
        <v>460104200007060624</v>
      </c>
    </row>
    <row r="2290" customFormat="1" spans="1:15">
      <c r="A2290">
        <v>3108</v>
      </c>
      <c r="B2290" t="s">
        <v>2940</v>
      </c>
      <c r="C2290" t="str">
        <f>"460033199405043265"</f>
        <v>460033199405043265</v>
      </c>
      <c r="L2290">
        <v>3108</v>
      </c>
      <c r="M2290" t="s">
        <v>2940</v>
      </c>
      <c r="O2290" t="str">
        <f>"460033199405043265"</f>
        <v>460033199405043265</v>
      </c>
    </row>
    <row r="2291" customFormat="1" spans="1:15">
      <c r="A2291">
        <v>3109</v>
      </c>
      <c r="B2291" t="s">
        <v>2941</v>
      </c>
      <c r="C2291" t="str">
        <f>"460003199105120224"</f>
        <v>460003199105120224</v>
      </c>
      <c r="D2291" t="str">
        <f>"248030200719"</f>
        <v>248030200719</v>
      </c>
      <c r="L2291">
        <v>3109</v>
      </c>
      <c r="M2291" t="s">
        <v>2941</v>
      </c>
      <c r="N2291" t="str">
        <f>"248030200719"</f>
        <v>248030200719</v>
      </c>
      <c r="O2291" t="str">
        <f>"460003199105120224"</f>
        <v>460003199105120224</v>
      </c>
    </row>
    <row r="2292" customFormat="1" spans="1:15">
      <c r="A2292">
        <v>3110</v>
      </c>
      <c r="B2292" t="s">
        <v>22</v>
      </c>
      <c r="C2292" t="str">
        <f>"460003199105302028"</f>
        <v>460003199105302028</v>
      </c>
      <c r="D2292" t="str">
        <f>"248030403704"</f>
        <v>248030403704</v>
      </c>
      <c r="L2292">
        <v>3110</v>
      </c>
      <c r="M2292" t="s">
        <v>22</v>
      </c>
      <c r="N2292" t="str">
        <f>"248030403704"</f>
        <v>248030403704</v>
      </c>
      <c r="O2292" t="str">
        <f>"460003199105302028"</f>
        <v>460003199105302028</v>
      </c>
    </row>
    <row r="2293" customFormat="1" spans="1:15">
      <c r="A2293">
        <v>3113</v>
      </c>
      <c r="B2293" t="s">
        <v>2942</v>
      </c>
      <c r="C2293" t="str">
        <f>"460028199801196828"</f>
        <v>460028199801196828</v>
      </c>
      <c r="D2293" t="str">
        <f>"248030203603"</f>
        <v>248030203603</v>
      </c>
      <c r="L2293">
        <v>3113</v>
      </c>
      <c r="M2293" t="s">
        <v>2942</v>
      </c>
      <c r="N2293" t="str">
        <f>"248030203603"</f>
        <v>248030203603</v>
      </c>
      <c r="O2293" t="str">
        <f>"460028199801196828"</f>
        <v>460028199801196828</v>
      </c>
    </row>
    <row r="2294" customFormat="1" spans="1:15">
      <c r="A2294">
        <v>3114</v>
      </c>
      <c r="B2294" t="s">
        <v>380</v>
      </c>
      <c r="C2294" t="str">
        <f>"460004199709284023"</f>
        <v>460004199709284023</v>
      </c>
      <c r="D2294" t="str">
        <f>"248030403117"</f>
        <v>248030403117</v>
      </c>
      <c r="L2294">
        <v>3114</v>
      </c>
      <c r="M2294" t="s">
        <v>380</v>
      </c>
      <c r="N2294" t="str">
        <f>"248030403117"</f>
        <v>248030403117</v>
      </c>
      <c r="O2294" t="str">
        <f>"460004199709284023"</f>
        <v>460004199709284023</v>
      </c>
    </row>
    <row r="2295" customFormat="1" spans="1:15">
      <c r="A2295">
        <v>3115</v>
      </c>
      <c r="B2295" t="s">
        <v>2943</v>
      </c>
      <c r="C2295" t="str">
        <f>"460003199304182268"</f>
        <v>460003199304182268</v>
      </c>
      <c r="L2295">
        <v>3115</v>
      </c>
      <c r="M2295" t="s">
        <v>2943</v>
      </c>
      <c r="O2295" t="str">
        <f>"460003199304182268"</f>
        <v>460003199304182268</v>
      </c>
    </row>
    <row r="2296" customFormat="1" spans="1:15">
      <c r="A2296">
        <v>3116</v>
      </c>
      <c r="B2296" t="s">
        <v>2944</v>
      </c>
      <c r="C2296" t="str">
        <f>"460007199307064991"</f>
        <v>460007199307064991</v>
      </c>
      <c r="D2296" t="str">
        <f>"248030400524"</f>
        <v>248030400524</v>
      </c>
      <c r="L2296">
        <v>3116</v>
      </c>
      <c r="M2296" t="s">
        <v>2944</v>
      </c>
      <c r="N2296" t="str">
        <f>"248030400524"</f>
        <v>248030400524</v>
      </c>
      <c r="O2296" t="str">
        <f>"460007199307064991"</f>
        <v>460007199307064991</v>
      </c>
    </row>
    <row r="2297" customFormat="1" spans="1:15">
      <c r="A2297">
        <v>3117</v>
      </c>
      <c r="B2297" t="s">
        <v>2945</v>
      </c>
      <c r="C2297" t="str">
        <f>"460006200005280022"</f>
        <v>460006200005280022</v>
      </c>
      <c r="D2297" t="str">
        <f>"248030400818"</f>
        <v>248030400818</v>
      </c>
      <c r="L2297">
        <v>3117</v>
      </c>
      <c r="M2297" t="s">
        <v>2945</v>
      </c>
      <c r="N2297" t="str">
        <f>"248030400818"</f>
        <v>248030400818</v>
      </c>
      <c r="O2297" t="str">
        <f>"460006200005280022"</f>
        <v>460006200005280022</v>
      </c>
    </row>
    <row r="2298" customFormat="1" spans="1:15">
      <c r="A2298">
        <v>3118</v>
      </c>
      <c r="B2298" t="s">
        <v>2946</v>
      </c>
      <c r="C2298" t="str">
        <f>"410402199810095649"</f>
        <v>410402199810095649</v>
      </c>
      <c r="D2298" t="str">
        <f>"248030504018"</f>
        <v>248030504018</v>
      </c>
      <c r="L2298">
        <v>3118</v>
      </c>
      <c r="M2298" t="s">
        <v>2946</v>
      </c>
      <c r="N2298" t="str">
        <f>"248030504018"</f>
        <v>248030504018</v>
      </c>
      <c r="O2298" t="str">
        <f>"410402199810095649"</f>
        <v>410402199810095649</v>
      </c>
    </row>
    <row r="2299" customFormat="1" spans="1:15">
      <c r="A2299">
        <v>3120</v>
      </c>
      <c r="B2299" t="s">
        <v>2947</v>
      </c>
      <c r="C2299" t="str">
        <f>"460028199406080067"</f>
        <v>460028199406080067</v>
      </c>
      <c r="L2299">
        <v>3120</v>
      </c>
      <c r="M2299" t="s">
        <v>2947</v>
      </c>
      <c r="O2299" t="str">
        <f>"460028199406080067"</f>
        <v>460028199406080067</v>
      </c>
    </row>
    <row r="2300" customFormat="1" spans="1:15">
      <c r="A2300">
        <v>3121</v>
      </c>
      <c r="B2300" t="s">
        <v>2948</v>
      </c>
      <c r="C2300" t="str">
        <f>"460102199107070944"</f>
        <v>460102199107070944</v>
      </c>
      <c r="D2300" t="str">
        <f>"248030500722"</f>
        <v>248030500722</v>
      </c>
      <c r="L2300">
        <v>3121</v>
      </c>
      <c r="M2300" t="s">
        <v>2948</v>
      </c>
      <c r="N2300" t="str">
        <f>"248030500722"</f>
        <v>248030500722</v>
      </c>
      <c r="O2300" t="str">
        <f>"460102199107070944"</f>
        <v>460102199107070944</v>
      </c>
    </row>
    <row r="2301" customFormat="1" spans="1:15">
      <c r="A2301">
        <v>3123</v>
      </c>
      <c r="B2301" t="s">
        <v>2949</v>
      </c>
      <c r="C2301" t="str">
        <f>"460033199907023221"</f>
        <v>460033199907023221</v>
      </c>
      <c r="D2301" t="str">
        <f>"248030103909"</f>
        <v>248030103909</v>
      </c>
      <c r="L2301">
        <v>3123</v>
      </c>
      <c r="M2301" t="s">
        <v>2949</v>
      </c>
      <c r="N2301" t="str">
        <f>"248030103909"</f>
        <v>248030103909</v>
      </c>
      <c r="O2301" t="str">
        <f>"460033199907023221"</f>
        <v>460033199907023221</v>
      </c>
    </row>
    <row r="2302" customFormat="1" spans="1:15">
      <c r="A2302">
        <v>3124</v>
      </c>
      <c r="B2302" t="s">
        <v>2950</v>
      </c>
      <c r="C2302" t="str">
        <f>"469024199912110428"</f>
        <v>469024199912110428</v>
      </c>
      <c r="D2302" t="str">
        <f>"248030301828"</f>
        <v>248030301828</v>
      </c>
      <c r="L2302">
        <v>3124</v>
      </c>
      <c r="M2302" t="s">
        <v>2950</v>
      </c>
      <c r="N2302" t="str">
        <f>"248030301828"</f>
        <v>248030301828</v>
      </c>
      <c r="O2302" t="str">
        <f>"469024199912110428"</f>
        <v>469024199912110428</v>
      </c>
    </row>
    <row r="2303" customFormat="1" spans="1:15">
      <c r="A2303">
        <v>3127</v>
      </c>
      <c r="B2303" t="s">
        <v>2951</v>
      </c>
      <c r="C2303" t="str">
        <f>"460033199307294503"</f>
        <v>460033199307294503</v>
      </c>
      <c r="L2303">
        <v>3127</v>
      </c>
      <c r="M2303" t="s">
        <v>2951</v>
      </c>
      <c r="O2303" t="str">
        <f>"460033199307294503"</f>
        <v>460033199307294503</v>
      </c>
    </row>
    <row r="2304" customFormat="1" spans="1:15">
      <c r="A2304">
        <v>3128</v>
      </c>
      <c r="B2304" t="s">
        <v>2952</v>
      </c>
      <c r="C2304" t="str">
        <f>"460007199503115805"</f>
        <v>460007199503115805</v>
      </c>
      <c r="L2304">
        <v>3128</v>
      </c>
      <c r="M2304" t="s">
        <v>2952</v>
      </c>
      <c r="O2304" t="str">
        <f>"460007199503115805"</f>
        <v>460007199503115805</v>
      </c>
    </row>
    <row r="2305" customFormat="1" spans="1:15">
      <c r="A2305">
        <v>3131</v>
      </c>
      <c r="B2305" t="s">
        <v>2953</v>
      </c>
      <c r="C2305" t="str">
        <f>"460003199506231427"</f>
        <v>460003199506231427</v>
      </c>
      <c r="L2305">
        <v>3131</v>
      </c>
      <c r="M2305" t="s">
        <v>2953</v>
      </c>
      <c r="O2305" t="str">
        <f>"460003199506231427"</f>
        <v>460003199506231427</v>
      </c>
    </row>
    <row r="2306" customFormat="1" spans="1:15">
      <c r="A2306">
        <v>3132</v>
      </c>
      <c r="B2306" t="s">
        <v>2954</v>
      </c>
      <c r="C2306" t="str">
        <f>"469002200202104127"</f>
        <v>469002200202104127</v>
      </c>
      <c r="D2306" t="str">
        <f>"248030102929"</f>
        <v>248030102929</v>
      </c>
      <c r="L2306">
        <v>3132</v>
      </c>
      <c r="M2306" t="s">
        <v>2954</v>
      </c>
      <c r="N2306" t="str">
        <f>"248030102929"</f>
        <v>248030102929</v>
      </c>
      <c r="O2306" t="str">
        <f>"469002200202104127"</f>
        <v>469002200202104127</v>
      </c>
    </row>
    <row r="2307" customFormat="1" spans="1:15">
      <c r="A2307">
        <v>3133</v>
      </c>
      <c r="B2307" t="s">
        <v>2955</v>
      </c>
      <c r="C2307" t="str">
        <f>"460104199304171261"</f>
        <v>460104199304171261</v>
      </c>
      <c r="D2307" t="str">
        <f>"248030502816"</f>
        <v>248030502816</v>
      </c>
      <c r="L2307">
        <v>3133</v>
      </c>
      <c r="M2307" t="s">
        <v>2955</v>
      </c>
      <c r="N2307" t="str">
        <f>"248030502816"</f>
        <v>248030502816</v>
      </c>
      <c r="O2307" t="str">
        <f>"460104199304171261"</f>
        <v>460104199304171261</v>
      </c>
    </row>
    <row r="2308" customFormat="1" spans="1:15">
      <c r="A2308">
        <v>3134</v>
      </c>
      <c r="B2308" t="s">
        <v>2956</v>
      </c>
      <c r="C2308" t="str">
        <f>"450721199011233577"</f>
        <v>450721199011233577</v>
      </c>
      <c r="D2308" t="str">
        <f>"248030402814"</f>
        <v>248030402814</v>
      </c>
      <c r="L2308">
        <v>3134</v>
      </c>
      <c r="M2308" t="s">
        <v>2956</v>
      </c>
      <c r="N2308" t="str">
        <f>"248030402814"</f>
        <v>248030402814</v>
      </c>
      <c r="O2308" t="str">
        <f>"450721199011233577"</f>
        <v>450721199011233577</v>
      </c>
    </row>
    <row r="2309" customFormat="1" spans="1:15">
      <c r="A2309">
        <v>3135</v>
      </c>
      <c r="B2309" t="s">
        <v>2957</v>
      </c>
      <c r="C2309" t="str">
        <f>"460006200012294828"</f>
        <v>460006200012294828</v>
      </c>
      <c r="D2309" t="str">
        <f>"248030104922"</f>
        <v>248030104922</v>
      </c>
      <c r="L2309">
        <v>3135</v>
      </c>
      <c r="M2309" t="s">
        <v>2957</v>
      </c>
      <c r="N2309" t="str">
        <f>"248030104922"</f>
        <v>248030104922</v>
      </c>
      <c r="O2309" t="str">
        <f>"460006200012294828"</f>
        <v>460006200012294828</v>
      </c>
    </row>
    <row r="2310" customFormat="1" spans="1:15">
      <c r="A2310">
        <v>3136</v>
      </c>
      <c r="B2310" t="s">
        <v>2874</v>
      </c>
      <c r="C2310" t="str">
        <f>"460004199409222429"</f>
        <v>460004199409222429</v>
      </c>
      <c r="D2310" t="str">
        <f>"248030104616"</f>
        <v>248030104616</v>
      </c>
      <c r="L2310">
        <v>3136</v>
      </c>
      <c r="M2310" t="s">
        <v>2874</v>
      </c>
      <c r="N2310" t="str">
        <f>"248030104616"</f>
        <v>248030104616</v>
      </c>
      <c r="O2310" t="str">
        <f>"460004199409222429"</f>
        <v>460004199409222429</v>
      </c>
    </row>
    <row r="2311" customFormat="1" spans="1:15">
      <c r="A2311">
        <v>3137</v>
      </c>
      <c r="B2311" t="s">
        <v>2958</v>
      </c>
      <c r="C2311" t="str">
        <f>"460007199710174998"</f>
        <v>460007199710174998</v>
      </c>
      <c r="D2311" t="str">
        <f>"248030201124"</f>
        <v>248030201124</v>
      </c>
      <c r="L2311">
        <v>3137</v>
      </c>
      <c r="M2311" t="s">
        <v>2958</v>
      </c>
      <c r="N2311" t="str">
        <f>"248030201124"</f>
        <v>248030201124</v>
      </c>
      <c r="O2311" t="str">
        <f>"460007199710174998"</f>
        <v>460007199710174998</v>
      </c>
    </row>
    <row r="2312" customFormat="1" spans="1:15">
      <c r="A2312">
        <v>3138</v>
      </c>
      <c r="B2312" t="s">
        <v>2959</v>
      </c>
      <c r="C2312" t="str">
        <f>"460025199706040623"</f>
        <v>460025199706040623</v>
      </c>
      <c r="D2312" t="str">
        <f>"248030302016"</f>
        <v>248030302016</v>
      </c>
      <c r="L2312">
        <v>3138</v>
      </c>
      <c r="M2312" t="s">
        <v>2959</v>
      </c>
      <c r="N2312" t="str">
        <f>"248030302016"</f>
        <v>248030302016</v>
      </c>
      <c r="O2312" t="str">
        <f>"460025199706040623"</f>
        <v>460025199706040623</v>
      </c>
    </row>
    <row r="2313" customFormat="1" spans="1:15">
      <c r="A2313">
        <v>3142</v>
      </c>
      <c r="B2313" t="s">
        <v>2960</v>
      </c>
      <c r="C2313" t="str">
        <f>"460028199610153243"</f>
        <v>460028199610153243</v>
      </c>
      <c r="L2313">
        <v>3142</v>
      </c>
      <c r="M2313" t="s">
        <v>2960</v>
      </c>
      <c r="O2313" t="str">
        <f>"460028199610153243"</f>
        <v>460028199610153243</v>
      </c>
    </row>
    <row r="2314" customFormat="1" spans="1:15">
      <c r="A2314">
        <v>3143</v>
      </c>
      <c r="B2314" t="s">
        <v>2961</v>
      </c>
      <c r="C2314" t="str">
        <f>"460003199304076617"</f>
        <v>460003199304076617</v>
      </c>
      <c r="D2314" t="str">
        <f>"248030201501"</f>
        <v>248030201501</v>
      </c>
      <c r="L2314">
        <v>3143</v>
      </c>
      <c r="M2314" t="s">
        <v>2961</v>
      </c>
      <c r="N2314" t="str">
        <f>"248030201501"</f>
        <v>248030201501</v>
      </c>
      <c r="O2314" t="str">
        <f>"460003199304076617"</f>
        <v>460003199304076617</v>
      </c>
    </row>
    <row r="2315" customFormat="1" spans="1:15">
      <c r="A2315">
        <v>3145</v>
      </c>
      <c r="B2315" t="s">
        <v>2962</v>
      </c>
      <c r="C2315" t="str">
        <f>"460003199704234629"</f>
        <v>460003199704234629</v>
      </c>
      <c r="L2315">
        <v>3145</v>
      </c>
      <c r="M2315" t="s">
        <v>2962</v>
      </c>
      <c r="O2315" t="str">
        <f>"460003199704234629"</f>
        <v>460003199704234629</v>
      </c>
    </row>
    <row r="2316" customFormat="1" spans="1:15">
      <c r="A2316">
        <v>3147</v>
      </c>
      <c r="B2316" t="s">
        <v>2963</v>
      </c>
      <c r="C2316" t="str">
        <f>"46000319990801242X"</f>
        <v>46000319990801242X</v>
      </c>
      <c r="L2316">
        <v>3147</v>
      </c>
      <c r="M2316" t="s">
        <v>2963</v>
      </c>
      <c r="O2316" t="str">
        <f>"46000319990801242X"</f>
        <v>46000319990801242X</v>
      </c>
    </row>
    <row r="2317" customFormat="1" spans="1:15">
      <c r="A2317">
        <v>3149</v>
      </c>
      <c r="B2317" t="s">
        <v>480</v>
      </c>
      <c r="C2317" t="str">
        <f>"350421199706130021"</f>
        <v>350421199706130021</v>
      </c>
      <c r="D2317" t="str">
        <f>"248030402311"</f>
        <v>248030402311</v>
      </c>
      <c r="L2317">
        <v>3149</v>
      </c>
      <c r="M2317" t="s">
        <v>480</v>
      </c>
      <c r="N2317" t="str">
        <f>"248030402311"</f>
        <v>248030402311</v>
      </c>
      <c r="O2317" t="str">
        <f>"350421199706130021"</f>
        <v>350421199706130021</v>
      </c>
    </row>
    <row r="2318" customFormat="1" spans="1:15">
      <c r="A2318">
        <v>3150</v>
      </c>
      <c r="B2318" t="s">
        <v>2964</v>
      </c>
      <c r="C2318" t="str">
        <f>"46003319840104002X"</f>
        <v>46003319840104002X</v>
      </c>
      <c r="L2318">
        <v>3150</v>
      </c>
      <c r="M2318" t="s">
        <v>2964</v>
      </c>
      <c r="O2318" t="str">
        <f>"46003319840104002X"</f>
        <v>46003319840104002X</v>
      </c>
    </row>
    <row r="2319" customFormat="1" spans="1:15">
      <c r="A2319">
        <v>3151</v>
      </c>
      <c r="B2319" t="s">
        <v>2965</v>
      </c>
      <c r="C2319" t="str">
        <f>"460200200005070028"</f>
        <v>460200200005070028</v>
      </c>
      <c r="L2319">
        <v>3151</v>
      </c>
      <c r="M2319" t="s">
        <v>2965</v>
      </c>
      <c r="O2319" t="str">
        <f>"460200200005070028"</f>
        <v>460200200005070028</v>
      </c>
    </row>
    <row r="2320" customFormat="1" spans="1:15">
      <c r="A2320">
        <v>3152</v>
      </c>
      <c r="B2320" t="s">
        <v>2966</v>
      </c>
      <c r="C2320" t="str">
        <f>"620524199711021460"</f>
        <v>620524199711021460</v>
      </c>
      <c r="D2320" t="str">
        <f>"248030401823"</f>
        <v>248030401823</v>
      </c>
      <c r="L2320">
        <v>3152</v>
      </c>
      <c r="M2320" t="s">
        <v>2966</v>
      </c>
      <c r="N2320" t="str">
        <f>"248030401823"</f>
        <v>248030401823</v>
      </c>
      <c r="O2320" t="str">
        <f>"620524199711021460"</f>
        <v>620524199711021460</v>
      </c>
    </row>
    <row r="2321" customFormat="1" spans="1:15">
      <c r="A2321">
        <v>3153</v>
      </c>
      <c r="B2321" t="s">
        <v>2967</v>
      </c>
      <c r="C2321" t="str">
        <f>"341623200012090043"</f>
        <v>341623200012090043</v>
      </c>
      <c r="D2321" t="str">
        <f>"248030403328"</f>
        <v>248030403328</v>
      </c>
      <c r="L2321">
        <v>3153</v>
      </c>
      <c r="M2321" t="s">
        <v>2967</v>
      </c>
      <c r="N2321" t="str">
        <f>"248030403328"</f>
        <v>248030403328</v>
      </c>
      <c r="O2321" t="str">
        <f>"341623200012090043"</f>
        <v>341623200012090043</v>
      </c>
    </row>
    <row r="2322" customFormat="1" spans="1:15">
      <c r="A2322">
        <v>3155</v>
      </c>
      <c r="B2322" t="s">
        <v>2968</v>
      </c>
      <c r="C2322" t="str">
        <f>"411328199709080038"</f>
        <v>411328199709080038</v>
      </c>
      <c r="D2322" t="str">
        <f>"248030401708"</f>
        <v>248030401708</v>
      </c>
      <c r="L2322">
        <v>3155</v>
      </c>
      <c r="M2322" t="s">
        <v>2968</v>
      </c>
      <c r="N2322" t="str">
        <f>"248030401708"</f>
        <v>248030401708</v>
      </c>
      <c r="O2322" t="str">
        <f>"411328199709080038"</f>
        <v>411328199709080038</v>
      </c>
    </row>
    <row r="2323" customFormat="1" spans="1:15">
      <c r="A2323">
        <v>3156</v>
      </c>
      <c r="B2323" t="s">
        <v>1205</v>
      </c>
      <c r="C2323" t="str">
        <f>"460102199108192142"</f>
        <v>460102199108192142</v>
      </c>
      <c r="D2323" t="str">
        <f>"248030503302"</f>
        <v>248030503302</v>
      </c>
      <c r="L2323">
        <v>3156</v>
      </c>
      <c r="M2323" t="s">
        <v>1205</v>
      </c>
      <c r="N2323" t="str">
        <f>"248030503302"</f>
        <v>248030503302</v>
      </c>
      <c r="O2323" t="str">
        <f>"460102199108192142"</f>
        <v>460102199108192142</v>
      </c>
    </row>
    <row r="2324" customFormat="1" spans="1:15">
      <c r="A2324">
        <v>3157</v>
      </c>
      <c r="B2324" t="s">
        <v>2969</v>
      </c>
      <c r="C2324" t="str">
        <f>"460006199410032342"</f>
        <v>460006199410032342</v>
      </c>
      <c r="D2324" t="str">
        <f>"248030502024"</f>
        <v>248030502024</v>
      </c>
      <c r="L2324">
        <v>3157</v>
      </c>
      <c r="M2324" t="s">
        <v>2969</v>
      </c>
      <c r="N2324" t="str">
        <f>"248030502024"</f>
        <v>248030502024</v>
      </c>
      <c r="O2324" t="str">
        <f>"460006199410032342"</f>
        <v>460006199410032342</v>
      </c>
    </row>
    <row r="2325" customFormat="1" spans="1:15">
      <c r="A2325">
        <v>3158</v>
      </c>
      <c r="B2325" t="s">
        <v>2970</v>
      </c>
      <c r="C2325" t="str">
        <f>"460031199405135626"</f>
        <v>460031199405135626</v>
      </c>
      <c r="D2325" t="str">
        <f>"248030402621"</f>
        <v>248030402621</v>
      </c>
      <c r="L2325">
        <v>3158</v>
      </c>
      <c r="M2325" t="s">
        <v>2970</v>
      </c>
      <c r="N2325" t="str">
        <f>"248030402621"</f>
        <v>248030402621</v>
      </c>
      <c r="O2325" t="str">
        <f>"460031199405135626"</f>
        <v>460031199405135626</v>
      </c>
    </row>
    <row r="2326" customFormat="1" spans="1:15">
      <c r="A2326">
        <v>3159</v>
      </c>
      <c r="B2326" t="s">
        <v>2971</v>
      </c>
      <c r="C2326" t="str">
        <f>"460033199308145104"</f>
        <v>460033199308145104</v>
      </c>
      <c r="D2326" t="str">
        <f>"248030200110"</f>
        <v>248030200110</v>
      </c>
      <c r="L2326">
        <v>3159</v>
      </c>
      <c r="M2326" t="s">
        <v>2971</v>
      </c>
      <c r="N2326" t="str">
        <f>"248030200110"</f>
        <v>248030200110</v>
      </c>
      <c r="O2326" t="str">
        <f>"460033199308145104"</f>
        <v>460033199308145104</v>
      </c>
    </row>
    <row r="2327" customFormat="1" spans="1:15">
      <c r="A2327">
        <v>3162</v>
      </c>
      <c r="B2327" t="s">
        <v>2972</v>
      </c>
      <c r="C2327" t="str">
        <f>"460003199402144222"</f>
        <v>460003199402144222</v>
      </c>
      <c r="D2327" t="str">
        <f>"248030302709"</f>
        <v>248030302709</v>
      </c>
      <c r="L2327">
        <v>3162</v>
      </c>
      <c r="M2327" t="s">
        <v>2972</v>
      </c>
      <c r="N2327" t="str">
        <f>"248030302709"</f>
        <v>248030302709</v>
      </c>
      <c r="O2327" t="str">
        <f>"460003199402144222"</f>
        <v>460003199402144222</v>
      </c>
    </row>
    <row r="2328" customFormat="1" spans="1:15">
      <c r="A2328">
        <v>3163</v>
      </c>
      <c r="B2328" t="s">
        <v>2973</v>
      </c>
      <c r="C2328" t="str">
        <f>"460104199808010920"</f>
        <v>460104199808010920</v>
      </c>
      <c r="D2328" t="str">
        <f>"248030104622"</f>
        <v>248030104622</v>
      </c>
      <c r="L2328">
        <v>3163</v>
      </c>
      <c r="M2328" t="s">
        <v>2973</v>
      </c>
      <c r="N2328" t="str">
        <f>"248030104622"</f>
        <v>248030104622</v>
      </c>
      <c r="O2328" t="str">
        <f>"460104199808010920"</f>
        <v>460104199808010920</v>
      </c>
    </row>
    <row r="2329" customFormat="1" spans="1:15">
      <c r="A2329">
        <v>3164</v>
      </c>
      <c r="B2329" t="s">
        <v>2974</v>
      </c>
      <c r="C2329" t="str">
        <f>"460028199809130049"</f>
        <v>460028199809130049</v>
      </c>
      <c r="D2329" t="str">
        <f>"248030104814"</f>
        <v>248030104814</v>
      </c>
      <c r="L2329">
        <v>3164</v>
      </c>
      <c r="M2329" t="s">
        <v>2974</v>
      </c>
      <c r="N2329" t="str">
        <f>"248030104814"</f>
        <v>248030104814</v>
      </c>
      <c r="O2329" t="str">
        <f>"460028199809130049"</f>
        <v>460028199809130049</v>
      </c>
    </row>
    <row r="2330" customFormat="1" spans="1:15">
      <c r="A2330">
        <v>3165</v>
      </c>
      <c r="B2330" t="s">
        <v>2975</v>
      </c>
      <c r="C2330" t="str">
        <f>"460028199408052828"</f>
        <v>460028199408052828</v>
      </c>
      <c r="D2330" t="str">
        <f>"248030103206"</f>
        <v>248030103206</v>
      </c>
      <c r="L2330">
        <v>3165</v>
      </c>
      <c r="M2330" t="s">
        <v>2975</v>
      </c>
      <c r="N2330" t="str">
        <f>"248030103206"</f>
        <v>248030103206</v>
      </c>
      <c r="O2330" t="str">
        <f>"460028199408052828"</f>
        <v>460028199408052828</v>
      </c>
    </row>
    <row r="2331" customFormat="1" spans="1:15">
      <c r="A2331">
        <v>3166</v>
      </c>
      <c r="B2331" t="s">
        <v>2007</v>
      </c>
      <c r="C2331" t="str">
        <f>"421124199904122024"</f>
        <v>421124199904122024</v>
      </c>
      <c r="D2331" t="str">
        <f>"248030102627"</f>
        <v>248030102627</v>
      </c>
      <c r="L2331">
        <v>3166</v>
      </c>
      <c r="M2331" t="s">
        <v>2007</v>
      </c>
      <c r="N2331" t="str">
        <f>"248030102627"</f>
        <v>248030102627</v>
      </c>
      <c r="O2331" t="str">
        <f>"421124199904122024"</f>
        <v>421124199904122024</v>
      </c>
    </row>
    <row r="2332" customFormat="1" spans="1:15">
      <c r="A2332">
        <v>3167</v>
      </c>
      <c r="B2332" t="s">
        <v>2976</v>
      </c>
      <c r="C2332" t="str">
        <f>"460030199712176624"</f>
        <v>460030199712176624</v>
      </c>
      <c r="D2332" t="str">
        <f>"248030500319"</f>
        <v>248030500319</v>
      </c>
      <c r="L2332">
        <v>3167</v>
      </c>
      <c r="M2332" t="s">
        <v>2976</v>
      </c>
      <c r="N2332" t="str">
        <f>"248030500319"</f>
        <v>248030500319</v>
      </c>
      <c r="O2332" t="str">
        <f>"460030199712176624"</f>
        <v>460030199712176624</v>
      </c>
    </row>
    <row r="2333" customFormat="1" spans="1:15">
      <c r="A2333">
        <v>3168</v>
      </c>
      <c r="B2333" t="s">
        <v>374</v>
      </c>
      <c r="C2333" t="str">
        <f>"460026199411194226"</f>
        <v>460026199411194226</v>
      </c>
      <c r="D2333" t="str">
        <f>"248030401618"</f>
        <v>248030401618</v>
      </c>
      <c r="L2333">
        <v>3168</v>
      </c>
      <c r="M2333" t="s">
        <v>374</v>
      </c>
      <c r="N2333" t="str">
        <f>"248030401618"</f>
        <v>248030401618</v>
      </c>
      <c r="O2333" t="str">
        <f>"460026199411194226"</f>
        <v>460026199411194226</v>
      </c>
    </row>
    <row r="2334" customFormat="1" spans="1:15">
      <c r="A2334">
        <v>3169</v>
      </c>
      <c r="B2334" t="s">
        <v>2977</v>
      </c>
      <c r="C2334" t="str">
        <f>"460003199306170623"</f>
        <v>460003199306170623</v>
      </c>
      <c r="D2334" t="str">
        <f>"248030500901"</f>
        <v>248030500901</v>
      </c>
      <c r="L2334">
        <v>3169</v>
      </c>
      <c r="M2334" t="s">
        <v>2977</v>
      </c>
      <c r="N2334" t="str">
        <f>"248030500901"</f>
        <v>248030500901</v>
      </c>
      <c r="O2334" t="str">
        <f>"460003199306170623"</f>
        <v>460003199306170623</v>
      </c>
    </row>
    <row r="2335" customFormat="1" spans="1:15">
      <c r="A2335">
        <v>3171</v>
      </c>
      <c r="B2335" t="s">
        <v>2978</v>
      </c>
      <c r="C2335" t="str">
        <f>"469005200004196226"</f>
        <v>469005200004196226</v>
      </c>
      <c r="L2335">
        <v>3171</v>
      </c>
      <c r="M2335" t="s">
        <v>2978</v>
      </c>
      <c r="O2335" t="str">
        <f>"469005200004196226"</f>
        <v>469005200004196226</v>
      </c>
    </row>
    <row r="2336" customFormat="1" spans="1:15">
      <c r="A2336">
        <v>3172</v>
      </c>
      <c r="B2336" t="s">
        <v>2979</v>
      </c>
      <c r="C2336" t="str">
        <f>"460028199806213228"</f>
        <v>460028199806213228</v>
      </c>
      <c r="D2336" t="str">
        <f>"248030501407"</f>
        <v>248030501407</v>
      </c>
      <c r="L2336">
        <v>3172</v>
      </c>
      <c r="M2336" t="s">
        <v>2979</v>
      </c>
      <c r="N2336" t="str">
        <f>"248030501407"</f>
        <v>248030501407</v>
      </c>
      <c r="O2336" t="str">
        <f>"460028199806213228"</f>
        <v>460028199806213228</v>
      </c>
    </row>
    <row r="2337" customFormat="1" spans="1:15">
      <c r="A2337">
        <v>3174</v>
      </c>
      <c r="B2337" t="s">
        <v>946</v>
      </c>
      <c r="C2337" t="str">
        <f>"370982199006150420"</f>
        <v>370982199006150420</v>
      </c>
      <c r="D2337" t="str">
        <f>"248030501928"</f>
        <v>248030501928</v>
      </c>
      <c r="L2337">
        <v>3174</v>
      </c>
      <c r="M2337" t="s">
        <v>946</v>
      </c>
      <c r="N2337" t="str">
        <f>"248030501928"</f>
        <v>248030501928</v>
      </c>
      <c r="O2337" t="str">
        <f>"370982199006150420"</f>
        <v>370982199006150420</v>
      </c>
    </row>
    <row r="2338" customFormat="1" spans="1:15">
      <c r="A2338">
        <v>3176</v>
      </c>
      <c r="B2338" t="s">
        <v>2980</v>
      </c>
      <c r="C2338" t="str">
        <f>"460104199907041220"</f>
        <v>460104199907041220</v>
      </c>
      <c r="D2338" t="str">
        <f>"248030502417"</f>
        <v>248030502417</v>
      </c>
      <c r="L2338">
        <v>3176</v>
      </c>
      <c r="M2338" t="s">
        <v>2980</v>
      </c>
      <c r="N2338" t="str">
        <f>"248030502417"</f>
        <v>248030502417</v>
      </c>
      <c r="O2338" t="str">
        <f>"460104199907041220"</f>
        <v>460104199907041220</v>
      </c>
    </row>
    <row r="2339" customFormat="1" spans="1:15">
      <c r="A2339">
        <v>3177</v>
      </c>
      <c r="B2339" t="s">
        <v>2981</v>
      </c>
      <c r="C2339" t="str">
        <f>"460022199105213251"</f>
        <v>460022199105213251</v>
      </c>
      <c r="D2339" t="str">
        <f>"248030201202"</f>
        <v>248030201202</v>
      </c>
      <c r="L2339">
        <v>3177</v>
      </c>
      <c r="M2339" t="s">
        <v>2981</v>
      </c>
      <c r="N2339" t="str">
        <f>"248030201202"</f>
        <v>248030201202</v>
      </c>
      <c r="O2339" t="str">
        <f>"460022199105213251"</f>
        <v>460022199105213251</v>
      </c>
    </row>
    <row r="2340" customFormat="1" spans="1:15">
      <c r="A2340">
        <v>3179</v>
      </c>
      <c r="B2340" t="s">
        <v>2982</v>
      </c>
      <c r="C2340" t="str">
        <f>"460003200005176613"</f>
        <v>460003200005176613</v>
      </c>
      <c r="D2340" t="str">
        <f>"248030201617"</f>
        <v>248030201617</v>
      </c>
      <c r="L2340">
        <v>3179</v>
      </c>
      <c r="M2340" t="s">
        <v>2982</v>
      </c>
      <c r="N2340" t="str">
        <f>"248030201617"</f>
        <v>248030201617</v>
      </c>
      <c r="O2340" t="str">
        <f>"460003200005176613"</f>
        <v>460003200005176613</v>
      </c>
    </row>
    <row r="2341" customFormat="1" spans="1:15">
      <c r="A2341">
        <v>3182</v>
      </c>
      <c r="B2341" t="s">
        <v>2983</v>
      </c>
      <c r="C2341" t="str">
        <f>"460004200108090229"</f>
        <v>460004200108090229</v>
      </c>
      <c r="D2341" t="str">
        <f>"248030101124"</f>
        <v>248030101124</v>
      </c>
      <c r="L2341">
        <v>3182</v>
      </c>
      <c r="M2341" t="s">
        <v>2983</v>
      </c>
      <c r="N2341" t="str">
        <f>"248030101124"</f>
        <v>248030101124</v>
      </c>
      <c r="O2341" t="str">
        <f>"460004200108090229"</f>
        <v>460004200108090229</v>
      </c>
    </row>
    <row r="2342" customFormat="1" spans="1:15">
      <c r="A2342">
        <v>3183</v>
      </c>
      <c r="B2342" t="s">
        <v>2984</v>
      </c>
      <c r="C2342" t="str">
        <f>"46003119961204644X"</f>
        <v>46003119961204644X</v>
      </c>
      <c r="D2342" t="str">
        <f>"248030400515"</f>
        <v>248030400515</v>
      </c>
      <c r="L2342">
        <v>3183</v>
      </c>
      <c r="M2342" t="s">
        <v>2984</v>
      </c>
      <c r="N2342" t="str">
        <f>"248030400515"</f>
        <v>248030400515</v>
      </c>
      <c r="O2342" t="str">
        <f>"46003119961204644X"</f>
        <v>46003119961204644X</v>
      </c>
    </row>
    <row r="2343" customFormat="1" spans="1:15">
      <c r="A2343">
        <v>3184</v>
      </c>
      <c r="B2343" t="s">
        <v>2985</v>
      </c>
      <c r="C2343" t="str">
        <f>"460003199711054247"</f>
        <v>460003199711054247</v>
      </c>
      <c r="D2343" t="str">
        <f>"248030401923"</f>
        <v>248030401923</v>
      </c>
      <c r="L2343">
        <v>3184</v>
      </c>
      <c r="M2343" t="s">
        <v>2985</v>
      </c>
      <c r="N2343" t="str">
        <f>"248030401923"</f>
        <v>248030401923</v>
      </c>
      <c r="O2343" t="str">
        <f>"460003199711054247"</f>
        <v>460003199711054247</v>
      </c>
    </row>
    <row r="2344" customFormat="1" spans="1:15">
      <c r="A2344">
        <v>3185</v>
      </c>
      <c r="B2344" t="s">
        <v>2986</v>
      </c>
      <c r="C2344" t="str">
        <f>"460025200109191525"</f>
        <v>460025200109191525</v>
      </c>
      <c r="D2344" t="str">
        <f>"248030302430"</f>
        <v>248030302430</v>
      </c>
      <c r="L2344">
        <v>3185</v>
      </c>
      <c r="M2344" t="s">
        <v>2986</v>
      </c>
      <c r="N2344" t="str">
        <f>"248030302430"</f>
        <v>248030302430</v>
      </c>
      <c r="O2344" t="str">
        <f>"460025200109191525"</f>
        <v>460025200109191525</v>
      </c>
    </row>
    <row r="2345" customFormat="1" spans="1:15">
      <c r="A2345">
        <v>3186</v>
      </c>
      <c r="B2345" t="s">
        <v>335</v>
      </c>
      <c r="C2345" t="str">
        <f>"460028199204032825"</f>
        <v>460028199204032825</v>
      </c>
      <c r="D2345" t="str">
        <f>"248030502713"</f>
        <v>248030502713</v>
      </c>
      <c r="L2345">
        <v>3186</v>
      </c>
      <c r="M2345" t="s">
        <v>335</v>
      </c>
      <c r="N2345" t="str">
        <f>"248030502713"</f>
        <v>248030502713</v>
      </c>
      <c r="O2345" t="str">
        <f>"460028199204032825"</f>
        <v>460028199204032825</v>
      </c>
    </row>
    <row r="2346" customFormat="1" spans="1:15">
      <c r="A2346">
        <v>3187</v>
      </c>
      <c r="B2346" t="s">
        <v>2987</v>
      </c>
      <c r="C2346" t="str">
        <f>"460031200101031217"</f>
        <v>460031200101031217</v>
      </c>
      <c r="D2346" t="str">
        <f>"248030401012"</f>
        <v>248030401012</v>
      </c>
      <c r="L2346">
        <v>3187</v>
      </c>
      <c r="M2346" t="s">
        <v>2987</v>
      </c>
      <c r="N2346" t="str">
        <f>"248030401012"</f>
        <v>248030401012</v>
      </c>
      <c r="O2346" t="str">
        <f>"460031200101031217"</f>
        <v>460031200101031217</v>
      </c>
    </row>
    <row r="2347" customFormat="1" spans="1:15">
      <c r="A2347">
        <v>3188</v>
      </c>
      <c r="B2347" t="s">
        <v>2988</v>
      </c>
      <c r="C2347" t="str">
        <f>"469025199409043324"</f>
        <v>469025199409043324</v>
      </c>
      <c r="D2347" t="str">
        <f>"248030300502"</f>
        <v>248030300502</v>
      </c>
      <c r="L2347">
        <v>3188</v>
      </c>
      <c r="M2347" t="s">
        <v>2988</v>
      </c>
      <c r="N2347" t="str">
        <f>"248030300502"</f>
        <v>248030300502</v>
      </c>
      <c r="O2347" t="str">
        <f>"469025199409043324"</f>
        <v>469025199409043324</v>
      </c>
    </row>
    <row r="2348" customFormat="1" spans="1:15">
      <c r="A2348">
        <v>3189</v>
      </c>
      <c r="B2348" t="s">
        <v>2989</v>
      </c>
      <c r="C2348" t="str">
        <f>"460028199907100820"</f>
        <v>460028199907100820</v>
      </c>
      <c r="D2348" t="str">
        <f>"248030203917"</f>
        <v>248030203917</v>
      </c>
      <c r="L2348">
        <v>3189</v>
      </c>
      <c r="M2348" t="s">
        <v>2989</v>
      </c>
      <c r="N2348" t="str">
        <f>"248030203917"</f>
        <v>248030203917</v>
      </c>
      <c r="O2348" t="str">
        <f>"460028199907100820"</f>
        <v>460028199907100820</v>
      </c>
    </row>
    <row r="2349" customFormat="1" spans="1:15">
      <c r="A2349">
        <v>3190</v>
      </c>
      <c r="B2349" t="s">
        <v>2990</v>
      </c>
      <c r="C2349" t="str">
        <f>"360733200003150068"</f>
        <v>360733200003150068</v>
      </c>
      <c r="L2349">
        <v>3190</v>
      </c>
      <c r="M2349" t="s">
        <v>2990</v>
      </c>
      <c r="O2349" t="str">
        <f>"360733200003150068"</f>
        <v>360733200003150068</v>
      </c>
    </row>
    <row r="2350" customFormat="1" spans="1:15">
      <c r="A2350">
        <v>3191</v>
      </c>
      <c r="B2350" t="s">
        <v>2991</v>
      </c>
      <c r="C2350" t="str">
        <f>"460027200104265663"</f>
        <v>460027200104265663</v>
      </c>
      <c r="D2350" t="str">
        <f>"248030302623"</f>
        <v>248030302623</v>
      </c>
      <c r="L2350">
        <v>3191</v>
      </c>
      <c r="M2350" t="s">
        <v>2991</v>
      </c>
      <c r="N2350" t="str">
        <f>"248030302623"</f>
        <v>248030302623</v>
      </c>
      <c r="O2350" t="str">
        <f>"460027200104265663"</f>
        <v>460027200104265663</v>
      </c>
    </row>
    <row r="2351" customFormat="1" spans="1:15">
      <c r="A2351">
        <v>3192</v>
      </c>
      <c r="B2351" t="s">
        <v>2992</v>
      </c>
      <c r="C2351" t="str">
        <f>"460028200109280842"</f>
        <v>460028200109280842</v>
      </c>
      <c r="L2351">
        <v>3192</v>
      </c>
      <c r="M2351" t="s">
        <v>2992</v>
      </c>
      <c r="O2351" t="str">
        <f>"460028200109280842"</f>
        <v>460028200109280842</v>
      </c>
    </row>
    <row r="2352" customFormat="1" spans="1:15">
      <c r="A2352">
        <v>3193</v>
      </c>
      <c r="B2352" t="s">
        <v>2993</v>
      </c>
      <c r="C2352" t="str">
        <f>"412822198902171869"</f>
        <v>412822198902171869</v>
      </c>
      <c r="D2352" t="str">
        <f>"248030104222"</f>
        <v>248030104222</v>
      </c>
      <c r="L2352">
        <v>3193</v>
      </c>
      <c r="M2352" t="s">
        <v>2993</v>
      </c>
      <c r="N2352" t="str">
        <f>"248030104222"</f>
        <v>248030104222</v>
      </c>
      <c r="O2352" t="str">
        <f>"412822198902171869"</f>
        <v>412822198902171869</v>
      </c>
    </row>
    <row r="2353" customFormat="1" spans="1:15">
      <c r="A2353">
        <v>3194</v>
      </c>
      <c r="B2353" t="s">
        <v>1780</v>
      </c>
      <c r="C2353" t="str">
        <f>"460006199605247829"</f>
        <v>460006199605247829</v>
      </c>
      <c r="D2353" t="str">
        <f>"248030203315"</f>
        <v>248030203315</v>
      </c>
      <c r="L2353">
        <v>3194</v>
      </c>
      <c r="M2353" t="s">
        <v>1780</v>
      </c>
      <c r="N2353" t="str">
        <f>"248030203315"</f>
        <v>248030203315</v>
      </c>
      <c r="O2353" t="str">
        <f>"460006199605247829"</f>
        <v>460006199605247829</v>
      </c>
    </row>
    <row r="2354" customFormat="1" spans="1:15">
      <c r="A2354">
        <v>3195</v>
      </c>
      <c r="B2354" t="s">
        <v>2994</v>
      </c>
      <c r="C2354" t="str">
        <f>"460031200002130025"</f>
        <v>460031200002130025</v>
      </c>
      <c r="D2354" t="str">
        <f>"248030403826"</f>
        <v>248030403826</v>
      </c>
      <c r="L2354">
        <v>3195</v>
      </c>
      <c r="M2354" t="s">
        <v>2994</v>
      </c>
      <c r="N2354" t="str">
        <f>"248030403826"</f>
        <v>248030403826</v>
      </c>
      <c r="O2354" t="str">
        <f>"460031200002130025"</f>
        <v>460031200002130025</v>
      </c>
    </row>
    <row r="2355" customFormat="1" spans="1:15">
      <c r="A2355">
        <v>3196</v>
      </c>
      <c r="B2355" t="s">
        <v>2995</v>
      </c>
      <c r="C2355" t="str">
        <f>"460025199402040026"</f>
        <v>460025199402040026</v>
      </c>
      <c r="D2355" t="str">
        <f>"248030103925"</f>
        <v>248030103925</v>
      </c>
      <c r="L2355">
        <v>3196</v>
      </c>
      <c r="M2355" t="s">
        <v>2995</v>
      </c>
      <c r="N2355" t="str">
        <f>"248030103925"</f>
        <v>248030103925</v>
      </c>
      <c r="O2355" t="str">
        <f>"460025199402040026"</f>
        <v>460025199402040026</v>
      </c>
    </row>
    <row r="2356" customFormat="1" spans="1:15">
      <c r="A2356">
        <v>3197</v>
      </c>
      <c r="B2356" t="s">
        <v>2996</v>
      </c>
      <c r="C2356" t="str">
        <f>"460004199312270248"</f>
        <v>460004199312270248</v>
      </c>
      <c r="D2356" t="str">
        <f>"248030202701"</f>
        <v>248030202701</v>
      </c>
      <c r="L2356">
        <v>3197</v>
      </c>
      <c r="M2356" t="s">
        <v>2996</v>
      </c>
      <c r="N2356" t="str">
        <f>"248030202701"</f>
        <v>248030202701</v>
      </c>
      <c r="O2356" t="str">
        <f>"460004199312270248"</f>
        <v>460004199312270248</v>
      </c>
    </row>
    <row r="2357" customFormat="1" spans="1:15">
      <c r="A2357">
        <v>3198</v>
      </c>
      <c r="B2357" t="s">
        <v>2997</v>
      </c>
      <c r="C2357" t="str">
        <f>"460006200005148726"</f>
        <v>460006200005148726</v>
      </c>
      <c r="D2357" t="str">
        <f>"248030500801"</f>
        <v>248030500801</v>
      </c>
      <c r="L2357">
        <v>3198</v>
      </c>
      <c r="M2357" t="s">
        <v>2997</v>
      </c>
      <c r="N2357" t="str">
        <f>"248030500801"</f>
        <v>248030500801</v>
      </c>
      <c r="O2357" t="str">
        <f>"460006200005148726"</f>
        <v>460006200005148726</v>
      </c>
    </row>
    <row r="2358" customFormat="1" spans="1:15">
      <c r="A2358">
        <v>3200</v>
      </c>
      <c r="B2358" t="s">
        <v>2998</v>
      </c>
      <c r="C2358" t="str">
        <f>"450981199312025445"</f>
        <v>450981199312025445</v>
      </c>
      <c r="D2358" t="str">
        <f>"248030301904"</f>
        <v>248030301904</v>
      </c>
      <c r="L2358">
        <v>3200</v>
      </c>
      <c r="M2358" t="s">
        <v>2998</v>
      </c>
      <c r="N2358" t="str">
        <f>"248030301904"</f>
        <v>248030301904</v>
      </c>
      <c r="O2358" t="str">
        <f>"450981199312025445"</f>
        <v>450981199312025445</v>
      </c>
    </row>
    <row r="2359" customFormat="1" spans="1:15">
      <c r="A2359">
        <v>3201</v>
      </c>
      <c r="B2359" t="s">
        <v>2999</v>
      </c>
      <c r="C2359" t="str">
        <f>"460003199609104826"</f>
        <v>460003199609104826</v>
      </c>
      <c r="D2359" t="str">
        <f>"248030101304"</f>
        <v>248030101304</v>
      </c>
      <c r="L2359">
        <v>3201</v>
      </c>
      <c r="M2359" t="s">
        <v>2999</v>
      </c>
      <c r="N2359" t="str">
        <f>"248030101304"</f>
        <v>248030101304</v>
      </c>
      <c r="O2359" t="str">
        <f>"460003199609104826"</f>
        <v>460003199609104826</v>
      </c>
    </row>
    <row r="2360" customFormat="1" spans="1:15">
      <c r="A2360">
        <v>3202</v>
      </c>
      <c r="B2360" t="s">
        <v>3000</v>
      </c>
      <c r="C2360" t="str">
        <f>"460026199101262449"</f>
        <v>460026199101262449</v>
      </c>
      <c r="D2360" t="str">
        <f>"248030503507"</f>
        <v>248030503507</v>
      </c>
      <c r="L2360">
        <v>3202</v>
      </c>
      <c r="M2360" t="s">
        <v>3000</v>
      </c>
      <c r="N2360" t="str">
        <f>"248030503507"</f>
        <v>248030503507</v>
      </c>
      <c r="O2360" t="str">
        <f>"460026199101262449"</f>
        <v>460026199101262449</v>
      </c>
    </row>
    <row r="2361" customFormat="1" spans="1:15">
      <c r="A2361">
        <v>3203</v>
      </c>
      <c r="B2361" t="s">
        <v>3001</v>
      </c>
      <c r="C2361" t="str">
        <f>"610502199801287422"</f>
        <v>610502199801287422</v>
      </c>
      <c r="L2361">
        <v>3203</v>
      </c>
      <c r="M2361" t="s">
        <v>3001</v>
      </c>
      <c r="O2361" t="str">
        <f>"610502199801287422"</f>
        <v>610502199801287422</v>
      </c>
    </row>
    <row r="2362" customFormat="1" spans="1:15">
      <c r="A2362">
        <v>3204</v>
      </c>
      <c r="B2362" t="s">
        <v>3002</v>
      </c>
      <c r="C2362" t="str">
        <f>"421202199912215340"</f>
        <v>421202199912215340</v>
      </c>
      <c r="L2362">
        <v>3204</v>
      </c>
      <c r="M2362" t="s">
        <v>3002</v>
      </c>
      <c r="O2362" t="str">
        <f>"421202199912215340"</f>
        <v>421202199912215340</v>
      </c>
    </row>
    <row r="2363" customFormat="1" spans="1:15">
      <c r="A2363">
        <v>3205</v>
      </c>
      <c r="B2363" t="s">
        <v>3003</v>
      </c>
      <c r="C2363" t="str">
        <f>"450923200204235367"</f>
        <v>450923200204235367</v>
      </c>
      <c r="D2363" t="str">
        <f>"248030503328"</f>
        <v>248030503328</v>
      </c>
      <c r="L2363">
        <v>3205</v>
      </c>
      <c r="M2363" t="s">
        <v>3003</v>
      </c>
      <c r="N2363" t="str">
        <f>"248030503328"</f>
        <v>248030503328</v>
      </c>
      <c r="O2363" t="str">
        <f>"450923200204235367"</f>
        <v>450923200204235367</v>
      </c>
    </row>
    <row r="2364" customFormat="1" spans="1:15">
      <c r="A2364">
        <v>3206</v>
      </c>
      <c r="B2364" t="s">
        <v>407</v>
      </c>
      <c r="C2364" t="str">
        <f>"460028199412101223"</f>
        <v>460028199412101223</v>
      </c>
      <c r="D2364" t="str">
        <f>"248030200202"</f>
        <v>248030200202</v>
      </c>
      <c r="L2364">
        <v>3206</v>
      </c>
      <c r="M2364" t="s">
        <v>407</v>
      </c>
      <c r="N2364" t="str">
        <f>"248030200202"</f>
        <v>248030200202</v>
      </c>
      <c r="O2364" t="str">
        <f>"460028199412101223"</f>
        <v>460028199412101223</v>
      </c>
    </row>
    <row r="2365" customFormat="1" spans="1:15">
      <c r="A2365">
        <v>3207</v>
      </c>
      <c r="B2365" t="s">
        <v>3004</v>
      </c>
      <c r="C2365" t="str">
        <f>"460007199910052266"</f>
        <v>460007199910052266</v>
      </c>
      <c r="D2365" t="str">
        <f>"248030100106"</f>
        <v>248030100106</v>
      </c>
      <c r="L2365">
        <v>3207</v>
      </c>
      <c r="M2365" t="s">
        <v>3004</v>
      </c>
      <c r="N2365" t="str">
        <f>"248030100106"</f>
        <v>248030100106</v>
      </c>
      <c r="O2365" t="str">
        <f>"460007199910052266"</f>
        <v>460007199910052266</v>
      </c>
    </row>
    <row r="2366" customFormat="1" spans="1:15">
      <c r="A2366">
        <v>3209</v>
      </c>
      <c r="B2366" t="s">
        <v>3005</v>
      </c>
      <c r="C2366" t="str">
        <f>"460005200110292125"</f>
        <v>460005200110292125</v>
      </c>
      <c r="D2366" t="str">
        <f>"248030301526"</f>
        <v>248030301526</v>
      </c>
      <c r="L2366">
        <v>3209</v>
      </c>
      <c r="M2366" t="s">
        <v>3005</v>
      </c>
      <c r="N2366" t="str">
        <f>"248030301526"</f>
        <v>248030301526</v>
      </c>
      <c r="O2366" t="str">
        <f>"460005200110292125"</f>
        <v>460005200110292125</v>
      </c>
    </row>
    <row r="2367" customFormat="1" spans="1:15">
      <c r="A2367">
        <v>3210</v>
      </c>
      <c r="B2367" t="s">
        <v>3006</v>
      </c>
      <c r="C2367" t="str">
        <f>"460025199810280926"</f>
        <v>460025199810280926</v>
      </c>
      <c r="D2367" t="str">
        <f>"248030102204"</f>
        <v>248030102204</v>
      </c>
      <c r="L2367">
        <v>3210</v>
      </c>
      <c r="M2367" t="s">
        <v>3006</v>
      </c>
      <c r="N2367" t="str">
        <f>"248030102204"</f>
        <v>248030102204</v>
      </c>
      <c r="O2367" t="str">
        <f>"460025199810280926"</f>
        <v>460025199810280926</v>
      </c>
    </row>
    <row r="2368" customFormat="1" spans="1:15">
      <c r="A2368">
        <v>3211</v>
      </c>
      <c r="B2368" t="s">
        <v>3007</v>
      </c>
      <c r="C2368" t="str">
        <f>"460007199701048527"</f>
        <v>460007199701048527</v>
      </c>
      <c r="D2368" t="str">
        <f>"248030100310"</f>
        <v>248030100310</v>
      </c>
      <c r="L2368">
        <v>3211</v>
      </c>
      <c r="M2368" t="s">
        <v>3007</v>
      </c>
      <c r="N2368" t="str">
        <f>"248030100310"</f>
        <v>248030100310</v>
      </c>
      <c r="O2368" t="str">
        <f>"460007199701048527"</f>
        <v>460007199701048527</v>
      </c>
    </row>
    <row r="2369" customFormat="1" spans="1:15">
      <c r="A2369">
        <v>3212</v>
      </c>
      <c r="B2369" t="s">
        <v>3008</v>
      </c>
      <c r="C2369" t="str">
        <f>"469028200106081213"</f>
        <v>469028200106081213</v>
      </c>
      <c r="D2369" t="str">
        <f>"248030201830"</f>
        <v>248030201830</v>
      </c>
      <c r="L2369">
        <v>3212</v>
      </c>
      <c r="M2369" t="s">
        <v>3008</v>
      </c>
      <c r="N2369" t="str">
        <f>"248030201830"</f>
        <v>248030201830</v>
      </c>
      <c r="O2369" t="str">
        <f>"469028200106081213"</f>
        <v>469028200106081213</v>
      </c>
    </row>
    <row r="2370" customFormat="1" spans="1:15">
      <c r="A2370">
        <v>3213</v>
      </c>
      <c r="B2370" t="s">
        <v>3009</v>
      </c>
      <c r="C2370" t="str">
        <f>"46000619970913276X"</f>
        <v>46000619970913276X</v>
      </c>
      <c r="L2370">
        <v>3213</v>
      </c>
      <c r="M2370" t="s">
        <v>3009</v>
      </c>
      <c r="O2370" t="str">
        <f>"46000619970913276X"</f>
        <v>46000619970913276X</v>
      </c>
    </row>
    <row r="2371" customFormat="1" spans="1:15">
      <c r="A2371">
        <v>3214</v>
      </c>
      <c r="B2371" t="s">
        <v>3010</v>
      </c>
      <c r="C2371" t="str">
        <f>"460102199709293029"</f>
        <v>460102199709293029</v>
      </c>
      <c r="D2371" t="str">
        <f>"248030500229"</f>
        <v>248030500229</v>
      </c>
      <c r="L2371">
        <v>3214</v>
      </c>
      <c r="M2371" t="s">
        <v>3010</v>
      </c>
      <c r="N2371" t="str">
        <f>"248030500229"</f>
        <v>248030500229</v>
      </c>
      <c r="O2371" t="str">
        <f>"460102199709293029"</f>
        <v>460102199709293029</v>
      </c>
    </row>
    <row r="2372" customFormat="1" spans="1:15">
      <c r="A2372">
        <v>3215</v>
      </c>
      <c r="B2372" t="s">
        <v>3011</v>
      </c>
      <c r="C2372" t="str">
        <f>"460033200204173333"</f>
        <v>460033200204173333</v>
      </c>
      <c r="L2372">
        <v>3215</v>
      </c>
      <c r="M2372" t="s">
        <v>3011</v>
      </c>
      <c r="O2372" t="str">
        <f>"460033200204173333"</f>
        <v>460033200204173333</v>
      </c>
    </row>
    <row r="2373" customFormat="1" spans="1:15">
      <c r="A2373">
        <v>3216</v>
      </c>
      <c r="B2373" t="s">
        <v>3012</v>
      </c>
      <c r="C2373" t="str">
        <f>"460300199510020320"</f>
        <v>460300199510020320</v>
      </c>
      <c r="D2373" t="str">
        <f>"248030404313"</f>
        <v>248030404313</v>
      </c>
      <c r="L2373">
        <v>3216</v>
      </c>
      <c r="M2373" t="s">
        <v>3012</v>
      </c>
      <c r="N2373" t="str">
        <f>"248030404313"</f>
        <v>248030404313</v>
      </c>
      <c r="O2373" t="str">
        <f>"460300199510020320"</f>
        <v>460300199510020320</v>
      </c>
    </row>
    <row r="2374" customFormat="1" spans="1:15">
      <c r="A2374">
        <v>3217</v>
      </c>
      <c r="B2374" t="s">
        <v>3013</v>
      </c>
      <c r="C2374" t="str">
        <f>"460200199909113136"</f>
        <v>460200199909113136</v>
      </c>
      <c r="L2374">
        <v>3217</v>
      </c>
      <c r="M2374" t="s">
        <v>3013</v>
      </c>
      <c r="O2374" t="str">
        <f>"460200199909113136"</f>
        <v>460200199909113136</v>
      </c>
    </row>
    <row r="2375" customFormat="1" spans="1:15">
      <c r="A2375">
        <v>3218</v>
      </c>
      <c r="B2375" t="s">
        <v>3014</v>
      </c>
      <c r="C2375" t="str">
        <f>"469003200102182212"</f>
        <v>469003200102182212</v>
      </c>
      <c r="D2375" t="str">
        <f>"248030301009"</f>
        <v>248030301009</v>
      </c>
      <c r="L2375">
        <v>3218</v>
      </c>
      <c r="M2375" t="s">
        <v>3014</v>
      </c>
      <c r="N2375" t="str">
        <f>"248030301009"</f>
        <v>248030301009</v>
      </c>
      <c r="O2375" t="str">
        <f>"469003200102182212"</f>
        <v>469003200102182212</v>
      </c>
    </row>
    <row r="2376" customFormat="1" spans="1:15">
      <c r="A2376">
        <v>3219</v>
      </c>
      <c r="B2376" t="s">
        <v>3015</v>
      </c>
      <c r="C2376" t="str">
        <f>"460033199911021472"</f>
        <v>460033199911021472</v>
      </c>
      <c r="D2376" t="str">
        <f>"248030104924"</f>
        <v>248030104924</v>
      </c>
      <c r="L2376">
        <v>3219</v>
      </c>
      <c r="M2376" t="s">
        <v>3015</v>
      </c>
      <c r="N2376" t="str">
        <f>"248030104924"</f>
        <v>248030104924</v>
      </c>
      <c r="O2376" t="str">
        <f>"460033199911021472"</f>
        <v>460033199911021472</v>
      </c>
    </row>
    <row r="2377" customFormat="1" spans="1:15">
      <c r="A2377">
        <v>3220</v>
      </c>
      <c r="B2377" t="s">
        <v>3016</v>
      </c>
      <c r="C2377" t="str">
        <f>"469024200010300017"</f>
        <v>469024200010300017</v>
      </c>
      <c r="D2377" t="str">
        <f>"248030102528"</f>
        <v>248030102528</v>
      </c>
      <c r="L2377">
        <v>3220</v>
      </c>
      <c r="M2377" t="s">
        <v>3016</v>
      </c>
      <c r="N2377" t="str">
        <f>"248030102528"</f>
        <v>248030102528</v>
      </c>
      <c r="O2377" t="str">
        <f>"469024200010300017"</f>
        <v>469024200010300017</v>
      </c>
    </row>
    <row r="2378" customFormat="1" spans="1:15">
      <c r="A2378">
        <v>3221</v>
      </c>
      <c r="B2378" t="s">
        <v>3017</v>
      </c>
      <c r="C2378" t="str">
        <f>"520203199706153520"</f>
        <v>520203199706153520</v>
      </c>
      <c r="L2378">
        <v>3221</v>
      </c>
      <c r="M2378" t="s">
        <v>3017</v>
      </c>
      <c r="O2378" t="str">
        <f>"520203199706153520"</f>
        <v>520203199706153520</v>
      </c>
    </row>
    <row r="2379" customFormat="1" spans="1:15">
      <c r="A2379">
        <v>3224</v>
      </c>
      <c r="B2379" t="s">
        <v>3018</v>
      </c>
      <c r="C2379" t="str">
        <f>"460005200208220023"</f>
        <v>460005200208220023</v>
      </c>
      <c r="D2379" t="str">
        <f>"248030103901"</f>
        <v>248030103901</v>
      </c>
      <c r="L2379">
        <v>3224</v>
      </c>
      <c r="M2379" t="s">
        <v>3018</v>
      </c>
      <c r="N2379" t="str">
        <f>"248030103901"</f>
        <v>248030103901</v>
      </c>
      <c r="O2379" t="str">
        <f>"460005200208220023"</f>
        <v>460005200208220023</v>
      </c>
    </row>
    <row r="2380" customFormat="1" spans="1:15">
      <c r="A2380">
        <v>3225</v>
      </c>
      <c r="B2380" t="s">
        <v>3019</v>
      </c>
      <c r="C2380" t="str">
        <f>"460028200307263226"</f>
        <v>460028200307263226</v>
      </c>
      <c r="D2380" t="str">
        <f>"248030403105"</f>
        <v>248030403105</v>
      </c>
      <c r="L2380">
        <v>3225</v>
      </c>
      <c r="M2380" t="s">
        <v>3019</v>
      </c>
      <c r="N2380" t="str">
        <f>"248030403105"</f>
        <v>248030403105</v>
      </c>
      <c r="O2380" t="str">
        <f>"460028200307263226"</f>
        <v>460028200307263226</v>
      </c>
    </row>
    <row r="2381" customFormat="1" spans="1:15">
      <c r="A2381">
        <v>3226</v>
      </c>
      <c r="B2381" t="s">
        <v>3020</v>
      </c>
      <c r="C2381" t="str">
        <f>"460006200108174046"</f>
        <v>460006200108174046</v>
      </c>
      <c r="D2381" t="str">
        <f>"248030503723"</f>
        <v>248030503723</v>
      </c>
      <c r="L2381">
        <v>3226</v>
      </c>
      <c r="M2381" t="s">
        <v>3020</v>
      </c>
      <c r="N2381" t="str">
        <f>"248030503723"</f>
        <v>248030503723</v>
      </c>
      <c r="O2381" t="str">
        <f>"460006200108174046"</f>
        <v>460006200108174046</v>
      </c>
    </row>
    <row r="2382" customFormat="1" spans="1:15">
      <c r="A2382">
        <v>3228</v>
      </c>
      <c r="B2382" t="s">
        <v>3021</v>
      </c>
      <c r="C2382" t="str">
        <f>"469007199901187626"</f>
        <v>469007199901187626</v>
      </c>
      <c r="D2382" t="str">
        <f>"248030401712"</f>
        <v>248030401712</v>
      </c>
      <c r="L2382">
        <v>3228</v>
      </c>
      <c r="M2382" t="s">
        <v>3021</v>
      </c>
      <c r="N2382" t="str">
        <f>"248030401712"</f>
        <v>248030401712</v>
      </c>
      <c r="O2382" t="str">
        <f>"469007199901187626"</f>
        <v>469007199901187626</v>
      </c>
    </row>
    <row r="2383" customFormat="1" spans="1:15">
      <c r="A2383">
        <v>3229</v>
      </c>
      <c r="B2383" t="s">
        <v>3022</v>
      </c>
      <c r="C2383" t="str">
        <f>"61048119970602582X"</f>
        <v>61048119970602582X</v>
      </c>
      <c r="L2383">
        <v>3229</v>
      </c>
      <c r="M2383" t="s">
        <v>3022</v>
      </c>
      <c r="O2383" t="str">
        <f>"61048119970602582X"</f>
        <v>61048119970602582X</v>
      </c>
    </row>
    <row r="2384" customFormat="1" spans="1:15">
      <c r="A2384">
        <v>3231</v>
      </c>
      <c r="B2384" t="s">
        <v>3023</v>
      </c>
      <c r="C2384" t="str">
        <f>"460027200009107325"</f>
        <v>460027200009107325</v>
      </c>
      <c r="D2384" t="str">
        <f>"248030300707"</f>
        <v>248030300707</v>
      </c>
      <c r="L2384">
        <v>3231</v>
      </c>
      <c r="M2384" t="s">
        <v>3023</v>
      </c>
      <c r="N2384" t="str">
        <f>"248030300707"</f>
        <v>248030300707</v>
      </c>
      <c r="O2384" t="str">
        <f>"460027200009107325"</f>
        <v>460027200009107325</v>
      </c>
    </row>
    <row r="2385" customFormat="1" spans="1:15">
      <c r="A2385">
        <v>3232</v>
      </c>
      <c r="B2385" t="s">
        <v>3024</v>
      </c>
      <c r="C2385" t="str">
        <f>"460004200210020024"</f>
        <v>460004200210020024</v>
      </c>
      <c r="D2385" t="str">
        <f>"248030200207"</f>
        <v>248030200207</v>
      </c>
      <c r="L2385">
        <v>3232</v>
      </c>
      <c r="M2385" t="s">
        <v>3024</v>
      </c>
      <c r="N2385" t="str">
        <f>"248030200207"</f>
        <v>248030200207</v>
      </c>
      <c r="O2385" t="str">
        <f>"460004200210020024"</f>
        <v>460004200210020024</v>
      </c>
    </row>
    <row r="2386" customFormat="1" spans="1:15">
      <c r="A2386">
        <v>3233</v>
      </c>
      <c r="B2386" t="s">
        <v>3025</v>
      </c>
      <c r="C2386" t="str">
        <f>"460031199912264422"</f>
        <v>460031199912264422</v>
      </c>
      <c r="D2386" t="str">
        <f>"248030200417"</f>
        <v>248030200417</v>
      </c>
      <c r="L2386">
        <v>3233</v>
      </c>
      <c r="M2386" t="s">
        <v>3025</v>
      </c>
      <c r="N2386" t="str">
        <f>"248030200417"</f>
        <v>248030200417</v>
      </c>
      <c r="O2386" t="str">
        <f>"460031199912264422"</f>
        <v>460031199912264422</v>
      </c>
    </row>
    <row r="2387" customFormat="1" spans="1:15">
      <c r="A2387">
        <v>3235</v>
      </c>
      <c r="B2387" t="s">
        <v>3026</v>
      </c>
      <c r="C2387" t="str">
        <f>"469027199606055984"</f>
        <v>469027199606055984</v>
      </c>
      <c r="L2387">
        <v>3235</v>
      </c>
      <c r="M2387" t="s">
        <v>3026</v>
      </c>
      <c r="O2387" t="str">
        <f>"469027199606055984"</f>
        <v>469027199606055984</v>
      </c>
    </row>
    <row r="2388" customFormat="1" spans="1:15">
      <c r="A2388">
        <v>3236</v>
      </c>
      <c r="B2388" t="s">
        <v>3027</v>
      </c>
      <c r="C2388" t="str">
        <f>"460003200010053423"</f>
        <v>460003200010053423</v>
      </c>
      <c r="L2388">
        <v>3236</v>
      </c>
      <c r="M2388" t="s">
        <v>3027</v>
      </c>
      <c r="O2388" t="str">
        <f>"460003200010053423"</f>
        <v>460003200010053423</v>
      </c>
    </row>
    <row r="2389" customFormat="1" spans="1:15">
      <c r="A2389">
        <v>3237</v>
      </c>
      <c r="B2389" t="s">
        <v>3028</v>
      </c>
      <c r="C2389" t="str">
        <f>"460003199101026425"</f>
        <v>460003199101026425</v>
      </c>
      <c r="L2389">
        <v>3237</v>
      </c>
      <c r="M2389" t="s">
        <v>3028</v>
      </c>
      <c r="O2389" t="str">
        <f>"460003199101026425"</f>
        <v>460003199101026425</v>
      </c>
    </row>
    <row r="2390" customFormat="1" spans="1:15">
      <c r="A2390">
        <v>3238</v>
      </c>
      <c r="B2390" t="s">
        <v>3029</v>
      </c>
      <c r="C2390" t="str">
        <f>"370784199401121525"</f>
        <v>370784199401121525</v>
      </c>
      <c r="L2390">
        <v>3238</v>
      </c>
      <c r="M2390" t="s">
        <v>3029</v>
      </c>
      <c r="O2390" t="str">
        <f>"370784199401121525"</f>
        <v>370784199401121525</v>
      </c>
    </row>
    <row r="2391" customFormat="1" spans="1:15">
      <c r="A2391">
        <v>3239</v>
      </c>
      <c r="B2391" t="s">
        <v>3030</v>
      </c>
      <c r="C2391" t="str">
        <f>"460006199807191624"</f>
        <v>460006199807191624</v>
      </c>
      <c r="D2391" t="str">
        <f>"248030101414"</f>
        <v>248030101414</v>
      </c>
      <c r="L2391">
        <v>3239</v>
      </c>
      <c r="M2391" t="s">
        <v>3030</v>
      </c>
      <c r="N2391" t="str">
        <f>"248030101414"</f>
        <v>248030101414</v>
      </c>
      <c r="O2391" t="str">
        <f>"460006199807191624"</f>
        <v>460006199807191624</v>
      </c>
    </row>
    <row r="2392" customFormat="1" spans="1:15">
      <c r="A2392">
        <v>3240</v>
      </c>
      <c r="B2392" t="s">
        <v>3031</v>
      </c>
      <c r="C2392" t="str">
        <f>"230602199706182862"</f>
        <v>230602199706182862</v>
      </c>
      <c r="L2392">
        <v>3240</v>
      </c>
      <c r="M2392" t="s">
        <v>3031</v>
      </c>
      <c r="O2392" t="str">
        <f>"230602199706182862"</f>
        <v>230602199706182862</v>
      </c>
    </row>
    <row r="2393" customFormat="1" spans="1:15">
      <c r="A2393">
        <v>3242</v>
      </c>
      <c r="B2393" t="s">
        <v>3032</v>
      </c>
      <c r="C2393" t="str">
        <f>"362330199806192080"</f>
        <v>362330199806192080</v>
      </c>
      <c r="D2393" t="str">
        <f>"248030201816"</f>
        <v>248030201816</v>
      </c>
      <c r="L2393">
        <v>3242</v>
      </c>
      <c r="M2393" t="s">
        <v>3032</v>
      </c>
      <c r="N2393" t="str">
        <f>"248030201816"</f>
        <v>248030201816</v>
      </c>
      <c r="O2393" t="str">
        <f>"362330199806192080"</f>
        <v>362330199806192080</v>
      </c>
    </row>
    <row r="2394" customFormat="1" spans="1:15">
      <c r="A2394">
        <v>3243</v>
      </c>
      <c r="B2394" t="s">
        <v>3033</v>
      </c>
      <c r="C2394" t="str">
        <f>"469024200206121221"</f>
        <v>469024200206121221</v>
      </c>
      <c r="D2394" t="str">
        <f>"248030502408"</f>
        <v>248030502408</v>
      </c>
      <c r="L2394">
        <v>3243</v>
      </c>
      <c r="M2394" t="s">
        <v>3033</v>
      </c>
      <c r="N2394" t="str">
        <f>"248030502408"</f>
        <v>248030502408</v>
      </c>
      <c r="O2394" t="str">
        <f>"469024200206121221"</f>
        <v>469024200206121221</v>
      </c>
    </row>
    <row r="2395" customFormat="1" spans="1:15">
      <c r="A2395">
        <v>3247</v>
      </c>
      <c r="B2395" t="s">
        <v>3034</v>
      </c>
      <c r="C2395" t="str">
        <f>"430422198902069813"</f>
        <v>430422198902069813</v>
      </c>
      <c r="L2395">
        <v>3247</v>
      </c>
      <c r="M2395" t="s">
        <v>3034</v>
      </c>
      <c r="O2395" t="str">
        <f>"430422198902069813"</f>
        <v>430422198902069813</v>
      </c>
    </row>
    <row r="2396" customFormat="1" spans="1:15">
      <c r="A2396">
        <v>3248</v>
      </c>
      <c r="B2396" t="s">
        <v>3035</v>
      </c>
      <c r="C2396" t="str">
        <f>"460102199708222421"</f>
        <v>460102199708222421</v>
      </c>
      <c r="D2396" t="str">
        <f>"248030203230"</f>
        <v>248030203230</v>
      </c>
      <c r="L2396">
        <v>3248</v>
      </c>
      <c r="M2396" t="s">
        <v>3035</v>
      </c>
      <c r="N2396" t="str">
        <f>"248030203230"</f>
        <v>248030203230</v>
      </c>
      <c r="O2396" t="str">
        <f>"460102199708222421"</f>
        <v>460102199708222421</v>
      </c>
    </row>
    <row r="2397" customFormat="1" spans="1:15">
      <c r="A2397">
        <v>3249</v>
      </c>
      <c r="B2397" t="s">
        <v>3036</v>
      </c>
      <c r="C2397" t="str">
        <f>"469028199607082825"</f>
        <v>469028199607082825</v>
      </c>
      <c r="D2397" t="str">
        <f>"248030401927"</f>
        <v>248030401927</v>
      </c>
      <c r="L2397">
        <v>3249</v>
      </c>
      <c r="M2397" t="s">
        <v>3036</v>
      </c>
      <c r="N2397" t="str">
        <f>"248030401927"</f>
        <v>248030401927</v>
      </c>
      <c r="O2397" t="str">
        <f>"469028199607082825"</f>
        <v>469028199607082825</v>
      </c>
    </row>
    <row r="2398" customFormat="1" spans="1:15">
      <c r="A2398">
        <v>3250</v>
      </c>
      <c r="B2398" t="s">
        <v>728</v>
      </c>
      <c r="C2398" t="str">
        <f>"469022200205295120"</f>
        <v>469022200205295120</v>
      </c>
      <c r="D2398" t="str">
        <f>"248030403815"</f>
        <v>248030403815</v>
      </c>
      <c r="L2398">
        <v>3250</v>
      </c>
      <c r="M2398" t="s">
        <v>728</v>
      </c>
      <c r="N2398" t="str">
        <f>"248030403815"</f>
        <v>248030403815</v>
      </c>
      <c r="O2398" t="str">
        <f>"469022200205295120"</f>
        <v>469022200205295120</v>
      </c>
    </row>
    <row r="2399" customFormat="1" spans="1:15">
      <c r="A2399">
        <v>3251</v>
      </c>
      <c r="B2399" t="s">
        <v>3037</v>
      </c>
      <c r="C2399" t="str">
        <f>"460300199112230023"</f>
        <v>460300199112230023</v>
      </c>
      <c r="D2399" t="str">
        <f>"248030103716"</f>
        <v>248030103716</v>
      </c>
      <c r="L2399">
        <v>3251</v>
      </c>
      <c r="M2399" t="s">
        <v>3037</v>
      </c>
      <c r="N2399" t="str">
        <f>"248030103716"</f>
        <v>248030103716</v>
      </c>
      <c r="O2399" t="str">
        <f>"460300199112230023"</f>
        <v>460300199112230023</v>
      </c>
    </row>
    <row r="2400" customFormat="1" spans="1:15">
      <c r="A2400">
        <v>3252</v>
      </c>
      <c r="B2400" t="s">
        <v>3038</v>
      </c>
      <c r="C2400" t="str">
        <f>"460028199909192028"</f>
        <v>460028199909192028</v>
      </c>
      <c r="D2400" t="str">
        <f>"248030503924"</f>
        <v>248030503924</v>
      </c>
      <c r="L2400">
        <v>3252</v>
      </c>
      <c r="M2400" t="s">
        <v>3038</v>
      </c>
      <c r="N2400" t="str">
        <f>"248030503924"</f>
        <v>248030503924</v>
      </c>
      <c r="O2400" t="str">
        <f>"460028199909192028"</f>
        <v>460028199909192028</v>
      </c>
    </row>
    <row r="2401" customFormat="1" spans="1:15">
      <c r="A2401">
        <v>3253</v>
      </c>
      <c r="B2401" t="s">
        <v>3039</v>
      </c>
      <c r="C2401" t="str">
        <f>"460102200012132722"</f>
        <v>460102200012132722</v>
      </c>
      <c r="D2401" t="str">
        <f>"248030103220"</f>
        <v>248030103220</v>
      </c>
      <c r="L2401">
        <v>3253</v>
      </c>
      <c r="M2401" t="s">
        <v>3039</v>
      </c>
      <c r="N2401" t="str">
        <f>"248030103220"</f>
        <v>248030103220</v>
      </c>
      <c r="O2401" t="str">
        <f>"460102200012132722"</f>
        <v>460102200012132722</v>
      </c>
    </row>
    <row r="2402" customFormat="1" spans="1:15">
      <c r="A2402">
        <v>3254</v>
      </c>
      <c r="B2402" t="s">
        <v>3040</v>
      </c>
      <c r="C2402" t="str">
        <f>"231002199910220027"</f>
        <v>231002199910220027</v>
      </c>
      <c r="D2402" t="str">
        <f>"248030203329"</f>
        <v>248030203329</v>
      </c>
      <c r="L2402">
        <v>3254</v>
      </c>
      <c r="M2402" t="s">
        <v>3040</v>
      </c>
      <c r="N2402" t="str">
        <f>"248030203329"</f>
        <v>248030203329</v>
      </c>
      <c r="O2402" t="str">
        <f>"231002199910220027"</f>
        <v>231002199910220027</v>
      </c>
    </row>
    <row r="2403" customFormat="1" spans="1:15">
      <c r="A2403">
        <v>3256</v>
      </c>
      <c r="B2403" t="s">
        <v>3041</v>
      </c>
      <c r="C2403" t="str">
        <f>"460004200107202823"</f>
        <v>460004200107202823</v>
      </c>
      <c r="D2403" t="str">
        <f>"248030504030"</f>
        <v>248030504030</v>
      </c>
      <c r="L2403">
        <v>3256</v>
      </c>
      <c r="M2403" t="s">
        <v>3041</v>
      </c>
      <c r="N2403" t="str">
        <f>"248030504030"</f>
        <v>248030504030</v>
      </c>
      <c r="O2403" t="str">
        <f>"460004200107202823"</f>
        <v>460004200107202823</v>
      </c>
    </row>
    <row r="2404" customFormat="1" spans="1:15">
      <c r="A2404">
        <v>3257</v>
      </c>
      <c r="B2404" t="s">
        <v>3042</v>
      </c>
      <c r="C2404" t="str">
        <f>"460004199701312210"</f>
        <v>460004199701312210</v>
      </c>
      <c r="D2404" t="str">
        <f>"248030400511"</f>
        <v>248030400511</v>
      </c>
      <c r="L2404">
        <v>3257</v>
      </c>
      <c r="M2404" t="s">
        <v>3042</v>
      </c>
      <c r="N2404" t="str">
        <f>"248030400511"</f>
        <v>248030400511</v>
      </c>
      <c r="O2404" t="str">
        <f>"460004199701312210"</f>
        <v>460004199701312210</v>
      </c>
    </row>
    <row r="2405" customFormat="1" spans="1:15">
      <c r="A2405">
        <v>3258</v>
      </c>
      <c r="B2405" t="s">
        <v>3043</v>
      </c>
      <c r="C2405" t="str">
        <f>"460006200006127812"</f>
        <v>460006200006127812</v>
      </c>
      <c r="D2405" t="str">
        <f>"248030300909"</f>
        <v>248030300909</v>
      </c>
      <c r="L2405">
        <v>3258</v>
      </c>
      <c r="M2405" t="s">
        <v>3043</v>
      </c>
      <c r="N2405" t="str">
        <f>"248030300909"</f>
        <v>248030300909</v>
      </c>
      <c r="O2405" t="str">
        <f>"460006200006127812"</f>
        <v>460006200006127812</v>
      </c>
    </row>
    <row r="2406" customFormat="1" spans="1:15">
      <c r="A2406">
        <v>3259</v>
      </c>
      <c r="B2406" t="s">
        <v>3044</v>
      </c>
      <c r="C2406" t="str">
        <f>"460006200106121629"</f>
        <v>460006200106121629</v>
      </c>
      <c r="D2406" t="str">
        <f>"248030501226"</f>
        <v>248030501226</v>
      </c>
      <c r="L2406">
        <v>3259</v>
      </c>
      <c r="M2406" t="s">
        <v>3044</v>
      </c>
      <c r="N2406" t="str">
        <f>"248030501226"</f>
        <v>248030501226</v>
      </c>
      <c r="O2406" t="str">
        <f>"460006200106121629"</f>
        <v>460006200106121629</v>
      </c>
    </row>
    <row r="2407" customFormat="1" spans="1:15">
      <c r="A2407">
        <v>3260</v>
      </c>
      <c r="B2407" t="s">
        <v>3045</v>
      </c>
      <c r="C2407" t="str">
        <f>"450721199505212223"</f>
        <v>450721199505212223</v>
      </c>
      <c r="L2407">
        <v>3260</v>
      </c>
      <c r="M2407" t="s">
        <v>3045</v>
      </c>
      <c r="O2407" t="str">
        <f>"450721199505212223"</f>
        <v>450721199505212223</v>
      </c>
    </row>
    <row r="2408" customFormat="1" spans="1:15">
      <c r="A2408">
        <v>3262</v>
      </c>
      <c r="B2408" t="s">
        <v>3046</v>
      </c>
      <c r="C2408" t="str">
        <f>"460105200206257522"</f>
        <v>460105200206257522</v>
      </c>
      <c r="D2408" t="str">
        <f>"248030503814"</f>
        <v>248030503814</v>
      </c>
      <c r="L2408">
        <v>3262</v>
      </c>
      <c r="M2408" t="s">
        <v>3046</v>
      </c>
      <c r="N2408" t="str">
        <f>"248030503814"</f>
        <v>248030503814</v>
      </c>
      <c r="O2408" t="str">
        <f>"460105200206257522"</f>
        <v>460105200206257522</v>
      </c>
    </row>
    <row r="2409" customFormat="1" spans="1:15">
      <c r="A2409">
        <v>3263</v>
      </c>
      <c r="B2409" t="s">
        <v>3047</v>
      </c>
      <c r="C2409" t="str">
        <f>"469023199909065949"</f>
        <v>469023199909065949</v>
      </c>
      <c r="D2409" t="str">
        <f>"248030202201"</f>
        <v>248030202201</v>
      </c>
      <c r="L2409">
        <v>3263</v>
      </c>
      <c r="M2409" t="s">
        <v>3047</v>
      </c>
      <c r="N2409" t="str">
        <f>"248030202201"</f>
        <v>248030202201</v>
      </c>
      <c r="O2409" t="str">
        <f>"469023199909065949"</f>
        <v>469023199909065949</v>
      </c>
    </row>
    <row r="2410" customFormat="1" spans="1:15">
      <c r="A2410">
        <v>3264</v>
      </c>
      <c r="B2410" t="s">
        <v>3048</v>
      </c>
      <c r="C2410" t="str">
        <f>"460004199312154028"</f>
        <v>460004199312154028</v>
      </c>
      <c r="L2410">
        <v>3264</v>
      </c>
      <c r="M2410" t="s">
        <v>3048</v>
      </c>
      <c r="O2410" t="str">
        <f>"460004199312154028"</f>
        <v>460004199312154028</v>
      </c>
    </row>
    <row r="2411" customFormat="1" spans="1:15">
      <c r="A2411">
        <v>3265</v>
      </c>
      <c r="B2411" t="s">
        <v>3049</v>
      </c>
      <c r="C2411" t="str">
        <f>"460004200011210626"</f>
        <v>460004200011210626</v>
      </c>
      <c r="L2411">
        <v>3265</v>
      </c>
      <c r="M2411" t="s">
        <v>3049</v>
      </c>
      <c r="O2411" t="str">
        <f>"460004200011210626"</f>
        <v>460004200011210626</v>
      </c>
    </row>
    <row r="2412" customFormat="1" spans="1:15">
      <c r="A2412">
        <v>3266</v>
      </c>
      <c r="B2412" t="s">
        <v>3050</v>
      </c>
      <c r="C2412" t="str">
        <f>"142234199511212223"</f>
        <v>142234199511212223</v>
      </c>
      <c r="D2412" t="str">
        <f>"248030200727"</f>
        <v>248030200727</v>
      </c>
      <c r="L2412">
        <v>3266</v>
      </c>
      <c r="M2412" t="s">
        <v>3050</v>
      </c>
      <c r="N2412" t="str">
        <f>"248030200727"</f>
        <v>248030200727</v>
      </c>
      <c r="O2412" t="str">
        <f>"142234199511212223"</f>
        <v>142234199511212223</v>
      </c>
    </row>
    <row r="2413" customFormat="1" spans="1:15">
      <c r="A2413">
        <v>3267</v>
      </c>
      <c r="B2413" t="s">
        <v>3051</v>
      </c>
      <c r="C2413" t="str">
        <f>"460034199807092429"</f>
        <v>460034199807092429</v>
      </c>
      <c r="D2413" t="str">
        <f>"248030203923"</f>
        <v>248030203923</v>
      </c>
      <c r="L2413">
        <v>3267</v>
      </c>
      <c r="M2413" t="s">
        <v>3051</v>
      </c>
      <c r="N2413" t="str">
        <f>"248030203923"</f>
        <v>248030203923</v>
      </c>
      <c r="O2413" t="str">
        <f>"460034199807092429"</f>
        <v>460034199807092429</v>
      </c>
    </row>
    <row r="2414" customFormat="1" spans="1:15">
      <c r="A2414">
        <v>3268</v>
      </c>
      <c r="B2414" t="s">
        <v>3052</v>
      </c>
      <c r="C2414" t="str">
        <f>"460007199308057662"</f>
        <v>460007199308057662</v>
      </c>
      <c r="D2414" t="str">
        <f>"248030102409"</f>
        <v>248030102409</v>
      </c>
      <c r="L2414">
        <v>3268</v>
      </c>
      <c r="M2414" t="s">
        <v>3052</v>
      </c>
      <c r="N2414" t="str">
        <f>"248030102409"</f>
        <v>248030102409</v>
      </c>
      <c r="O2414" t="str">
        <f>"460007199308057662"</f>
        <v>460007199308057662</v>
      </c>
    </row>
    <row r="2415" customFormat="1" spans="1:15">
      <c r="A2415">
        <v>3269</v>
      </c>
      <c r="B2415" t="s">
        <v>3053</v>
      </c>
      <c r="C2415" t="str">
        <f>"460200199802160282"</f>
        <v>460200199802160282</v>
      </c>
      <c r="D2415" t="str">
        <f>"248030103825"</f>
        <v>248030103825</v>
      </c>
      <c r="L2415">
        <v>3269</v>
      </c>
      <c r="M2415" t="s">
        <v>3053</v>
      </c>
      <c r="N2415" t="str">
        <f>"248030103825"</f>
        <v>248030103825</v>
      </c>
      <c r="O2415" t="str">
        <f>"460200199802160282"</f>
        <v>460200199802160282</v>
      </c>
    </row>
    <row r="2416" customFormat="1" spans="1:15">
      <c r="A2416">
        <v>3273</v>
      </c>
      <c r="B2416" t="s">
        <v>365</v>
      </c>
      <c r="C2416" t="str">
        <f>"460004199609163443"</f>
        <v>460004199609163443</v>
      </c>
      <c r="D2416" t="str">
        <f>"248030502604"</f>
        <v>248030502604</v>
      </c>
      <c r="L2416">
        <v>3273</v>
      </c>
      <c r="M2416" t="s">
        <v>365</v>
      </c>
      <c r="N2416" t="str">
        <f>"248030502604"</f>
        <v>248030502604</v>
      </c>
      <c r="O2416" t="str">
        <f>"460004199609163443"</f>
        <v>460004199609163443</v>
      </c>
    </row>
    <row r="2417" customFormat="1" spans="1:15">
      <c r="A2417">
        <v>3274</v>
      </c>
      <c r="B2417" t="s">
        <v>570</v>
      </c>
      <c r="C2417" t="str">
        <f>"469022199811195124"</f>
        <v>469022199811195124</v>
      </c>
      <c r="D2417" t="str">
        <f>"248030302703"</f>
        <v>248030302703</v>
      </c>
      <c r="L2417">
        <v>3274</v>
      </c>
      <c r="M2417" t="s">
        <v>570</v>
      </c>
      <c r="N2417" t="str">
        <f>"248030302703"</f>
        <v>248030302703</v>
      </c>
      <c r="O2417" t="str">
        <f>"469022199811195124"</f>
        <v>469022199811195124</v>
      </c>
    </row>
    <row r="2418" customFormat="1" spans="1:15">
      <c r="A2418">
        <v>3275</v>
      </c>
      <c r="B2418" t="s">
        <v>3054</v>
      </c>
      <c r="C2418" t="str">
        <f>"140107199107053922"</f>
        <v>140107199107053922</v>
      </c>
      <c r="L2418">
        <v>3275</v>
      </c>
      <c r="M2418" t="s">
        <v>3054</v>
      </c>
      <c r="O2418" t="str">
        <f>"140107199107053922"</f>
        <v>140107199107053922</v>
      </c>
    </row>
    <row r="2419" customFormat="1" spans="1:15">
      <c r="A2419">
        <v>3276</v>
      </c>
      <c r="B2419" t="s">
        <v>430</v>
      </c>
      <c r="C2419" t="str">
        <f>"411325199111250726"</f>
        <v>411325199111250726</v>
      </c>
      <c r="D2419" t="str">
        <f>"248030203401"</f>
        <v>248030203401</v>
      </c>
      <c r="L2419">
        <v>3276</v>
      </c>
      <c r="M2419" t="s">
        <v>430</v>
      </c>
      <c r="N2419" t="str">
        <f>"248030203401"</f>
        <v>248030203401</v>
      </c>
      <c r="O2419" t="str">
        <f>"411325199111250726"</f>
        <v>411325199111250726</v>
      </c>
    </row>
    <row r="2420" customFormat="1" spans="1:15">
      <c r="A2420">
        <v>3277</v>
      </c>
      <c r="B2420" t="s">
        <v>3055</v>
      </c>
      <c r="C2420" t="str">
        <f>"460004199803251025"</f>
        <v>460004199803251025</v>
      </c>
      <c r="D2420" t="str">
        <f>"248030203223"</f>
        <v>248030203223</v>
      </c>
      <c r="L2420">
        <v>3277</v>
      </c>
      <c r="M2420" t="s">
        <v>3055</v>
      </c>
      <c r="N2420" t="str">
        <f>"248030203223"</f>
        <v>248030203223</v>
      </c>
      <c r="O2420" t="str">
        <f>"460004199803251025"</f>
        <v>460004199803251025</v>
      </c>
    </row>
    <row r="2421" customFormat="1" spans="1:15">
      <c r="A2421">
        <v>3279</v>
      </c>
      <c r="B2421" t="s">
        <v>3056</v>
      </c>
      <c r="C2421" t="str">
        <f>"46900719960819582X"</f>
        <v>46900719960819582X</v>
      </c>
      <c r="D2421" t="str">
        <f>"248030104703"</f>
        <v>248030104703</v>
      </c>
      <c r="L2421">
        <v>3279</v>
      </c>
      <c r="M2421" t="s">
        <v>3056</v>
      </c>
      <c r="N2421" t="str">
        <f>"248030104703"</f>
        <v>248030104703</v>
      </c>
      <c r="O2421" t="str">
        <f>"46900719960819582X"</f>
        <v>46900719960819582X</v>
      </c>
    </row>
    <row r="2422" customFormat="1" spans="1:15">
      <c r="A2422">
        <v>3281</v>
      </c>
      <c r="B2422" t="s">
        <v>3057</v>
      </c>
      <c r="C2422" t="str">
        <f>"460006199905284023"</f>
        <v>460006199905284023</v>
      </c>
      <c r="D2422" t="str">
        <f>"248030101917"</f>
        <v>248030101917</v>
      </c>
      <c r="L2422">
        <v>3281</v>
      </c>
      <c r="M2422" t="s">
        <v>3057</v>
      </c>
      <c r="N2422" t="str">
        <f>"248030101917"</f>
        <v>248030101917</v>
      </c>
      <c r="O2422" t="str">
        <f>"460006199905284023"</f>
        <v>460006199905284023</v>
      </c>
    </row>
    <row r="2423" customFormat="1" spans="1:15">
      <c r="A2423">
        <v>3283</v>
      </c>
      <c r="B2423" t="s">
        <v>3058</v>
      </c>
      <c r="C2423" t="str">
        <f>"460004199807285425"</f>
        <v>460004199807285425</v>
      </c>
      <c r="D2423" t="str">
        <f>"248030104023"</f>
        <v>248030104023</v>
      </c>
      <c r="L2423">
        <v>3283</v>
      </c>
      <c r="M2423" t="s">
        <v>3058</v>
      </c>
      <c r="N2423" t="str">
        <f>"248030104023"</f>
        <v>248030104023</v>
      </c>
      <c r="O2423" t="str">
        <f>"460004199807285425"</f>
        <v>460004199807285425</v>
      </c>
    </row>
    <row r="2424" customFormat="1" spans="1:15">
      <c r="A2424">
        <v>3284</v>
      </c>
      <c r="B2424" t="s">
        <v>3059</v>
      </c>
      <c r="C2424" t="str">
        <f>"133027198709071649"</f>
        <v>133027198709071649</v>
      </c>
      <c r="D2424" t="str">
        <f>"248030101113"</f>
        <v>248030101113</v>
      </c>
      <c r="L2424">
        <v>3284</v>
      </c>
      <c r="M2424" t="s">
        <v>3059</v>
      </c>
      <c r="N2424" t="str">
        <f>"248030101113"</f>
        <v>248030101113</v>
      </c>
      <c r="O2424" t="str">
        <f>"133027198709071649"</f>
        <v>133027198709071649</v>
      </c>
    </row>
    <row r="2425" customFormat="1" spans="1:15">
      <c r="A2425">
        <v>3285</v>
      </c>
      <c r="B2425" t="s">
        <v>3060</v>
      </c>
      <c r="C2425" t="str">
        <f>"460026200111230024"</f>
        <v>460026200111230024</v>
      </c>
      <c r="D2425" t="str">
        <f>"248030200230"</f>
        <v>248030200230</v>
      </c>
      <c r="L2425">
        <v>3285</v>
      </c>
      <c r="M2425" t="s">
        <v>3060</v>
      </c>
      <c r="N2425" t="str">
        <f>"248030200230"</f>
        <v>248030200230</v>
      </c>
      <c r="O2425" t="str">
        <f>"460026200111230024"</f>
        <v>460026200111230024</v>
      </c>
    </row>
    <row r="2426" customFormat="1" spans="1:15">
      <c r="A2426">
        <v>3286</v>
      </c>
      <c r="B2426" t="s">
        <v>3061</v>
      </c>
      <c r="C2426" t="str">
        <f>"460033199708153269"</f>
        <v>460033199708153269</v>
      </c>
      <c r="D2426" t="str">
        <f>"248030404302"</f>
        <v>248030404302</v>
      </c>
      <c r="L2426">
        <v>3286</v>
      </c>
      <c r="M2426" t="s">
        <v>3061</v>
      </c>
      <c r="N2426" t="str">
        <f>"248030404302"</f>
        <v>248030404302</v>
      </c>
      <c r="O2426" t="str">
        <f>"460033199708153269"</f>
        <v>460033199708153269</v>
      </c>
    </row>
    <row r="2427" customFormat="1" spans="1:15">
      <c r="A2427">
        <v>3287</v>
      </c>
      <c r="B2427" t="s">
        <v>3062</v>
      </c>
      <c r="C2427" t="str">
        <f>"460028199208153640"</f>
        <v>460028199208153640</v>
      </c>
      <c r="D2427" t="str">
        <f>"248030200930"</f>
        <v>248030200930</v>
      </c>
      <c r="L2427">
        <v>3287</v>
      </c>
      <c r="M2427" t="s">
        <v>3062</v>
      </c>
      <c r="N2427" t="str">
        <f>"248030200930"</f>
        <v>248030200930</v>
      </c>
      <c r="O2427" t="str">
        <f>"460028199208153640"</f>
        <v>460028199208153640</v>
      </c>
    </row>
    <row r="2428" customFormat="1" spans="1:15">
      <c r="A2428">
        <v>3288</v>
      </c>
      <c r="B2428" t="s">
        <v>3063</v>
      </c>
      <c r="C2428" t="str">
        <f>"460103199407171823"</f>
        <v>460103199407171823</v>
      </c>
      <c r="D2428" t="str">
        <f>"248030103226"</f>
        <v>248030103226</v>
      </c>
      <c r="L2428">
        <v>3288</v>
      </c>
      <c r="M2428" t="s">
        <v>3063</v>
      </c>
      <c r="N2428" t="str">
        <f>"248030103226"</f>
        <v>248030103226</v>
      </c>
      <c r="O2428" t="str">
        <f>"460103199407171823"</f>
        <v>460103199407171823</v>
      </c>
    </row>
    <row r="2429" customFormat="1" spans="1:15">
      <c r="A2429">
        <v>3289</v>
      </c>
      <c r="B2429" t="s">
        <v>3064</v>
      </c>
      <c r="C2429" t="str">
        <f>"23090319900522142X"</f>
        <v>23090319900522142X</v>
      </c>
      <c r="D2429" t="str">
        <f>"248030200827"</f>
        <v>248030200827</v>
      </c>
      <c r="L2429">
        <v>3289</v>
      </c>
      <c r="M2429" t="s">
        <v>3064</v>
      </c>
      <c r="N2429" t="str">
        <f>"248030200827"</f>
        <v>248030200827</v>
      </c>
      <c r="O2429" t="str">
        <f>"23090319900522142X"</f>
        <v>23090319900522142X</v>
      </c>
    </row>
    <row r="2430" customFormat="1" spans="1:15">
      <c r="A2430">
        <v>3290</v>
      </c>
      <c r="B2430" t="s">
        <v>3065</v>
      </c>
      <c r="C2430" t="str">
        <f>"360121198811163141"</f>
        <v>360121198811163141</v>
      </c>
      <c r="D2430" t="str">
        <f>"248030502104"</f>
        <v>248030502104</v>
      </c>
      <c r="L2430">
        <v>3290</v>
      </c>
      <c r="M2430" t="s">
        <v>3065</v>
      </c>
      <c r="N2430" t="str">
        <f>"248030502104"</f>
        <v>248030502104</v>
      </c>
      <c r="O2430" t="str">
        <f>"360121198811163141"</f>
        <v>360121198811163141</v>
      </c>
    </row>
    <row r="2431" customFormat="1" spans="1:15">
      <c r="A2431">
        <v>3291</v>
      </c>
      <c r="B2431" t="s">
        <v>3066</v>
      </c>
      <c r="C2431" t="str">
        <f>"460033199206251782"</f>
        <v>460033199206251782</v>
      </c>
      <c r="L2431">
        <v>3291</v>
      </c>
      <c r="M2431" t="s">
        <v>3066</v>
      </c>
      <c r="O2431" t="str">
        <f>"460033199206251782"</f>
        <v>460033199206251782</v>
      </c>
    </row>
    <row r="2432" customFormat="1" spans="1:15">
      <c r="A2432">
        <v>3292</v>
      </c>
      <c r="B2432" t="s">
        <v>3067</v>
      </c>
      <c r="C2432" t="str">
        <f>"460030200009090322"</f>
        <v>460030200009090322</v>
      </c>
      <c r="D2432" t="str">
        <f>"248030301023"</f>
        <v>248030301023</v>
      </c>
      <c r="L2432">
        <v>3292</v>
      </c>
      <c r="M2432" t="s">
        <v>3067</v>
      </c>
      <c r="N2432" t="str">
        <f>"248030301023"</f>
        <v>248030301023</v>
      </c>
      <c r="O2432" t="str">
        <f>"460030200009090322"</f>
        <v>460030200009090322</v>
      </c>
    </row>
    <row r="2433" customFormat="1" spans="1:15">
      <c r="A2433">
        <v>3293</v>
      </c>
      <c r="B2433" t="s">
        <v>3068</v>
      </c>
      <c r="C2433" t="str">
        <f>"460005199908091722"</f>
        <v>460005199908091722</v>
      </c>
      <c r="D2433" t="str">
        <f>"248030102817"</f>
        <v>248030102817</v>
      </c>
      <c r="L2433">
        <v>3293</v>
      </c>
      <c r="M2433" t="s">
        <v>3068</v>
      </c>
      <c r="N2433" t="str">
        <f>"248030102817"</f>
        <v>248030102817</v>
      </c>
      <c r="O2433" t="str">
        <f>"460005199908091722"</f>
        <v>460005199908091722</v>
      </c>
    </row>
    <row r="2434" customFormat="1" spans="1:15">
      <c r="A2434">
        <v>3294</v>
      </c>
      <c r="B2434" t="s">
        <v>3069</v>
      </c>
      <c r="C2434" t="str">
        <f>"460028199201240020"</f>
        <v>460028199201240020</v>
      </c>
      <c r="D2434" t="str">
        <f>"248030401729"</f>
        <v>248030401729</v>
      </c>
      <c r="L2434">
        <v>3294</v>
      </c>
      <c r="M2434" t="s">
        <v>3069</v>
      </c>
      <c r="N2434" t="str">
        <f>"248030401729"</f>
        <v>248030401729</v>
      </c>
      <c r="O2434" t="str">
        <f>"460028199201240020"</f>
        <v>460028199201240020</v>
      </c>
    </row>
    <row r="2435" customFormat="1" spans="1:15">
      <c r="A2435">
        <v>3295</v>
      </c>
      <c r="B2435" t="s">
        <v>2977</v>
      </c>
      <c r="C2435" t="str">
        <f>"460006199908034425"</f>
        <v>460006199908034425</v>
      </c>
      <c r="D2435" t="str">
        <f>"248030501120"</f>
        <v>248030501120</v>
      </c>
      <c r="L2435">
        <v>3295</v>
      </c>
      <c r="M2435" t="s">
        <v>2977</v>
      </c>
      <c r="N2435" t="str">
        <f>"248030501120"</f>
        <v>248030501120</v>
      </c>
      <c r="O2435" t="str">
        <f>"460006199908034425"</f>
        <v>460006199908034425</v>
      </c>
    </row>
    <row r="2436" customFormat="1" spans="1:15">
      <c r="A2436">
        <v>3296</v>
      </c>
      <c r="B2436" t="s">
        <v>3070</v>
      </c>
      <c r="C2436" t="str">
        <f>"460006199607154028"</f>
        <v>460006199607154028</v>
      </c>
      <c r="D2436" t="str">
        <f>"248030400324"</f>
        <v>248030400324</v>
      </c>
      <c r="L2436">
        <v>3296</v>
      </c>
      <c r="M2436" t="s">
        <v>3070</v>
      </c>
      <c r="N2436" t="str">
        <f>"248030400324"</f>
        <v>248030400324</v>
      </c>
      <c r="O2436" t="str">
        <f>"460006199607154028"</f>
        <v>460006199607154028</v>
      </c>
    </row>
    <row r="2437" customFormat="1" spans="1:15">
      <c r="A2437">
        <v>3297</v>
      </c>
      <c r="B2437" t="s">
        <v>3071</v>
      </c>
      <c r="C2437" t="str">
        <f>"460003199208183068"</f>
        <v>460003199208183068</v>
      </c>
      <c r="D2437" t="str">
        <f>"248030502414"</f>
        <v>248030502414</v>
      </c>
      <c r="L2437">
        <v>3297</v>
      </c>
      <c r="M2437" t="s">
        <v>3071</v>
      </c>
      <c r="N2437" t="str">
        <f>"248030502414"</f>
        <v>248030502414</v>
      </c>
      <c r="O2437" t="str">
        <f>"460003199208183068"</f>
        <v>460003199208183068</v>
      </c>
    </row>
    <row r="2438" customFormat="1" spans="1:15">
      <c r="A2438">
        <v>3298</v>
      </c>
      <c r="B2438" t="s">
        <v>3072</v>
      </c>
      <c r="C2438" t="str">
        <f>"460200199107165348"</f>
        <v>460200199107165348</v>
      </c>
      <c r="L2438">
        <v>3298</v>
      </c>
      <c r="M2438" t="s">
        <v>3072</v>
      </c>
      <c r="O2438" t="str">
        <f>"460200199107165348"</f>
        <v>460200199107165348</v>
      </c>
    </row>
    <row r="2439" customFormat="1" spans="1:15">
      <c r="A2439">
        <v>3299</v>
      </c>
      <c r="B2439" t="s">
        <v>3073</v>
      </c>
      <c r="C2439" t="str">
        <f>"460004199510054423"</f>
        <v>460004199510054423</v>
      </c>
      <c r="D2439" t="str">
        <f>"248030104918"</f>
        <v>248030104918</v>
      </c>
      <c r="L2439">
        <v>3299</v>
      </c>
      <c r="M2439" t="s">
        <v>3073</v>
      </c>
      <c r="N2439" t="str">
        <f>"248030104918"</f>
        <v>248030104918</v>
      </c>
      <c r="O2439" t="str">
        <f>"460004199510054423"</f>
        <v>460004199510054423</v>
      </c>
    </row>
    <row r="2440" customFormat="1" spans="1:15">
      <c r="A2440">
        <v>3301</v>
      </c>
      <c r="B2440" t="s">
        <v>3074</v>
      </c>
      <c r="C2440" t="str">
        <f>"460004199512115824"</f>
        <v>460004199512115824</v>
      </c>
      <c r="D2440" t="str">
        <f>"248030402408"</f>
        <v>248030402408</v>
      </c>
      <c r="L2440">
        <v>3301</v>
      </c>
      <c r="M2440" t="s">
        <v>3074</v>
      </c>
      <c r="N2440" t="str">
        <f>"248030402408"</f>
        <v>248030402408</v>
      </c>
      <c r="O2440" t="str">
        <f>"460004199512115824"</f>
        <v>460004199512115824</v>
      </c>
    </row>
    <row r="2441" customFormat="1" spans="1:15">
      <c r="A2441">
        <v>3302</v>
      </c>
      <c r="B2441" t="s">
        <v>3075</v>
      </c>
      <c r="C2441" t="str">
        <f>"460002199805272222"</f>
        <v>460002199805272222</v>
      </c>
      <c r="D2441" t="str">
        <f>"248030103719"</f>
        <v>248030103719</v>
      </c>
      <c r="L2441">
        <v>3302</v>
      </c>
      <c r="M2441" t="s">
        <v>3075</v>
      </c>
      <c r="N2441" t="str">
        <f>"248030103719"</f>
        <v>248030103719</v>
      </c>
      <c r="O2441" t="str">
        <f>"460002199805272222"</f>
        <v>460002199805272222</v>
      </c>
    </row>
    <row r="2442" customFormat="1" spans="1:15">
      <c r="A2442">
        <v>3303</v>
      </c>
      <c r="B2442" t="s">
        <v>682</v>
      </c>
      <c r="C2442" t="str">
        <f>"460200200112033142"</f>
        <v>460200200112033142</v>
      </c>
      <c r="D2442" t="str">
        <f>"248030201427"</f>
        <v>248030201427</v>
      </c>
      <c r="L2442">
        <v>3303</v>
      </c>
      <c r="M2442" t="s">
        <v>682</v>
      </c>
      <c r="N2442" t="str">
        <f>"248030201427"</f>
        <v>248030201427</v>
      </c>
      <c r="O2442" t="str">
        <f>"460200200112033142"</f>
        <v>460200200112033142</v>
      </c>
    </row>
    <row r="2443" customFormat="1" spans="1:15">
      <c r="A2443">
        <v>3304</v>
      </c>
      <c r="B2443" t="s">
        <v>3076</v>
      </c>
      <c r="C2443" t="str">
        <f>"460027200010101326"</f>
        <v>460027200010101326</v>
      </c>
      <c r="D2443" t="str">
        <f>"248030101726"</f>
        <v>248030101726</v>
      </c>
      <c r="L2443">
        <v>3304</v>
      </c>
      <c r="M2443" t="s">
        <v>3076</v>
      </c>
      <c r="N2443" t="str">
        <f>"248030101726"</f>
        <v>248030101726</v>
      </c>
      <c r="O2443" t="str">
        <f>"460027200010101326"</f>
        <v>460027200010101326</v>
      </c>
    </row>
    <row r="2444" customFormat="1" spans="1:15">
      <c r="A2444">
        <v>3305</v>
      </c>
      <c r="B2444" t="s">
        <v>3077</v>
      </c>
      <c r="C2444" t="str">
        <f>"460021199509194417"</f>
        <v>460021199509194417</v>
      </c>
      <c r="D2444" t="str">
        <f>"248030400406"</f>
        <v>248030400406</v>
      </c>
      <c r="L2444">
        <v>3305</v>
      </c>
      <c r="M2444" t="s">
        <v>3077</v>
      </c>
      <c r="N2444" t="str">
        <f>"248030400406"</f>
        <v>248030400406</v>
      </c>
      <c r="O2444" t="str">
        <f>"460021199509194417"</f>
        <v>460021199509194417</v>
      </c>
    </row>
    <row r="2445" customFormat="1" spans="1:15">
      <c r="A2445">
        <v>3306</v>
      </c>
      <c r="B2445" t="s">
        <v>3078</v>
      </c>
      <c r="C2445" t="str">
        <f>"460033199503184686"</f>
        <v>460033199503184686</v>
      </c>
      <c r="D2445" t="str">
        <f>"248030400203"</f>
        <v>248030400203</v>
      </c>
      <c r="L2445">
        <v>3306</v>
      </c>
      <c r="M2445" t="s">
        <v>3078</v>
      </c>
      <c r="N2445" t="str">
        <f>"248030400203"</f>
        <v>248030400203</v>
      </c>
      <c r="O2445" t="str">
        <f>"460033199503184686"</f>
        <v>460033199503184686</v>
      </c>
    </row>
    <row r="2446" customFormat="1" spans="1:15">
      <c r="A2446">
        <v>3308</v>
      </c>
      <c r="B2446" t="s">
        <v>3079</v>
      </c>
      <c r="C2446" t="str">
        <f>"460003199705184213"</f>
        <v>460003199705184213</v>
      </c>
      <c r="D2446" t="str">
        <f>"248030300818"</f>
        <v>248030300818</v>
      </c>
      <c r="L2446">
        <v>3308</v>
      </c>
      <c r="M2446" t="s">
        <v>3079</v>
      </c>
      <c r="N2446" t="str">
        <f>"248030300818"</f>
        <v>248030300818</v>
      </c>
      <c r="O2446" t="str">
        <f>"460003199705184213"</f>
        <v>460003199705184213</v>
      </c>
    </row>
    <row r="2447" customFormat="1" spans="1:15">
      <c r="A2447">
        <v>3311</v>
      </c>
      <c r="B2447" t="s">
        <v>3080</v>
      </c>
      <c r="C2447" t="str">
        <f>"460026200004280026"</f>
        <v>460026200004280026</v>
      </c>
      <c r="D2447" t="str">
        <f>"248030203229"</f>
        <v>248030203229</v>
      </c>
      <c r="L2447">
        <v>3311</v>
      </c>
      <c r="M2447" t="s">
        <v>3080</v>
      </c>
      <c r="N2447" t="str">
        <f>"248030203229"</f>
        <v>248030203229</v>
      </c>
      <c r="O2447" t="str">
        <f>"460026200004280026"</f>
        <v>460026200004280026</v>
      </c>
    </row>
    <row r="2448" customFormat="1" spans="1:15">
      <c r="A2448">
        <v>3312</v>
      </c>
      <c r="B2448" t="s">
        <v>3081</v>
      </c>
      <c r="C2448" t="str">
        <f>"460006199710164021"</f>
        <v>460006199710164021</v>
      </c>
      <c r="D2448" t="str">
        <f>"248030100624"</f>
        <v>248030100624</v>
      </c>
      <c r="L2448">
        <v>3312</v>
      </c>
      <c r="M2448" t="s">
        <v>3081</v>
      </c>
      <c r="N2448" t="str">
        <f>"248030100624"</f>
        <v>248030100624</v>
      </c>
      <c r="O2448" t="str">
        <f>"460006199710164021"</f>
        <v>460006199710164021</v>
      </c>
    </row>
    <row r="2449" customFormat="1" spans="1:15">
      <c r="A2449">
        <v>3313</v>
      </c>
      <c r="B2449" t="s">
        <v>3082</v>
      </c>
      <c r="C2449" t="str">
        <f>"460004198912201428"</f>
        <v>460004198912201428</v>
      </c>
      <c r="L2449">
        <v>3313</v>
      </c>
      <c r="M2449" t="s">
        <v>3082</v>
      </c>
      <c r="O2449" t="str">
        <f>"460004198912201428"</f>
        <v>460004198912201428</v>
      </c>
    </row>
    <row r="2450" customFormat="1" spans="1:15">
      <c r="A2450">
        <v>3314</v>
      </c>
      <c r="B2450" t="s">
        <v>3083</v>
      </c>
      <c r="C2450" t="str">
        <f>"460103198612301522"</f>
        <v>460103198612301522</v>
      </c>
      <c r="L2450">
        <v>3314</v>
      </c>
      <c r="M2450" t="s">
        <v>3083</v>
      </c>
      <c r="O2450" t="str">
        <f>"460103198612301522"</f>
        <v>460103198612301522</v>
      </c>
    </row>
    <row r="2451" customFormat="1" spans="1:15">
      <c r="A2451">
        <v>3315</v>
      </c>
      <c r="B2451" t="s">
        <v>3084</v>
      </c>
      <c r="C2451" t="str">
        <f>"46000320000814326X"</f>
        <v>46000320000814326X</v>
      </c>
      <c r="D2451" t="str">
        <f>"248030202716"</f>
        <v>248030202716</v>
      </c>
      <c r="L2451">
        <v>3315</v>
      </c>
      <c r="M2451" t="s">
        <v>3084</v>
      </c>
      <c r="N2451" t="str">
        <f>"248030202716"</f>
        <v>248030202716</v>
      </c>
      <c r="O2451" t="str">
        <f>"46000320000814326X"</f>
        <v>46000320000814326X</v>
      </c>
    </row>
    <row r="2452" customFormat="1" spans="1:15">
      <c r="A2452">
        <v>3317</v>
      </c>
      <c r="B2452" t="s">
        <v>3085</v>
      </c>
      <c r="C2452" t="str">
        <f>"500241200012154131"</f>
        <v>500241200012154131</v>
      </c>
      <c r="D2452" t="str">
        <f>"248030203403"</f>
        <v>248030203403</v>
      </c>
      <c r="L2452">
        <v>3317</v>
      </c>
      <c r="M2452" t="s">
        <v>3085</v>
      </c>
      <c r="N2452" t="str">
        <f>"248030203403"</f>
        <v>248030203403</v>
      </c>
      <c r="O2452" t="str">
        <f>"500241200012154131"</f>
        <v>500241200012154131</v>
      </c>
    </row>
    <row r="2453" customFormat="1" spans="1:15">
      <c r="A2453">
        <v>3318</v>
      </c>
      <c r="B2453" t="s">
        <v>3086</v>
      </c>
      <c r="C2453" t="str">
        <f>"460031199610215262"</f>
        <v>460031199610215262</v>
      </c>
      <c r="D2453" t="str">
        <f>"248030502806"</f>
        <v>248030502806</v>
      </c>
      <c r="L2453">
        <v>3318</v>
      </c>
      <c r="M2453" t="s">
        <v>3086</v>
      </c>
      <c r="N2453" t="str">
        <f>"248030502806"</f>
        <v>248030502806</v>
      </c>
      <c r="O2453" t="str">
        <f>"460031199610215262"</f>
        <v>460031199610215262</v>
      </c>
    </row>
    <row r="2454" customFormat="1" spans="1:15">
      <c r="A2454">
        <v>3319</v>
      </c>
      <c r="B2454" t="s">
        <v>3087</v>
      </c>
      <c r="C2454" t="str">
        <f>"460007199703245364"</f>
        <v>460007199703245364</v>
      </c>
      <c r="D2454" t="str">
        <f>"248030402809"</f>
        <v>248030402809</v>
      </c>
      <c r="L2454">
        <v>3319</v>
      </c>
      <c r="M2454" t="s">
        <v>3087</v>
      </c>
      <c r="N2454" t="str">
        <f>"248030402809"</f>
        <v>248030402809</v>
      </c>
      <c r="O2454" t="str">
        <f>"460007199703245364"</f>
        <v>460007199703245364</v>
      </c>
    </row>
    <row r="2455" customFormat="1" spans="1:15">
      <c r="A2455">
        <v>3320</v>
      </c>
      <c r="B2455" t="s">
        <v>3088</v>
      </c>
      <c r="C2455" t="str">
        <f>"440881199705145563"</f>
        <v>440881199705145563</v>
      </c>
      <c r="D2455" t="str">
        <f>"248030203510"</f>
        <v>248030203510</v>
      </c>
      <c r="L2455">
        <v>3320</v>
      </c>
      <c r="M2455" t="s">
        <v>3088</v>
      </c>
      <c r="N2455" t="str">
        <f>"248030203510"</f>
        <v>248030203510</v>
      </c>
      <c r="O2455" t="str">
        <f>"440881199705145563"</f>
        <v>440881199705145563</v>
      </c>
    </row>
    <row r="2456" customFormat="1" spans="1:15">
      <c r="A2456">
        <v>3321</v>
      </c>
      <c r="B2456" t="s">
        <v>258</v>
      </c>
      <c r="C2456" t="str">
        <f>"460033199907234782"</f>
        <v>460033199907234782</v>
      </c>
      <c r="D2456" t="str">
        <f>"248030102605"</f>
        <v>248030102605</v>
      </c>
      <c r="L2456">
        <v>3321</v>
      </c>
      <c r="M2456" t="s">
        <v>258</v>
      </c>
      <c r="N2456" t="str">
        <f>"248030102605"</f>
        <v>248030102605</v>
      </c>
      <c r="O2456" t="str">
        <f>"460033199907234782"</f>
        <v>460033199907234782</v>
      </c>
    </row>
    <row r="2457" customFormat="1" spans="1:15">
      <c r="A2457">
        <v>3322</v>
      </c>
      <c r="B2457" t="s">
        <v>3089</v>
      </c>
      <c r="C2457" t="str">
        <f>"460006200106042023"</f>
        <v>460006200106042023</v>
      </c>
      <c r="D2457" t="str">
        <f>"248030500805"</f>
        <v>248030500805</v>
      </c>
      <c r="L2457">
        <v>3322</v>
      </c>
      <c r="M2457" t="s">
        <v>3089</v>
      </c>
      <c r="N2457" t="str">
        <f>"248030500805"</f>
        <v>248030500805</v>
      </c>
      <c r="O2457" t="str">
        <f>"460006200106042023"</f>
        <v>460006200106042023</v>
      </c>
    </row>
    <row r="2458" customFormat="1" spans="1:15">
      <c r="A2458">
        <v>3323</v>
      </c>
      <c r="B2458" t="s">
        <v>3090</v>
      </c>
      <c r="C2458" t="str">
        <f>"460031200211280011"</f>
        <v>460031200211280011</v>
      </c>
      <c r="D2458" t="str">
        <f>"248030500904"</f>
        <v>248030500904</v>
      </c>
      <c r="L2458">
        <v>3323</v>
      </c>
      <c r="M2458" t="s">
        <v>3090</v>
      </c>
      <c r="N2458" t="str">
        <f>"248030500904"</f>
        <v>248030500904</v>
      </c>
      <c r="O2458" t="str">
        <f>"460031200211280011"</f>
        <v>460031200211280011</v>
      </c>
    </row>
    <row r="2459" customFormat="1" spans="1:15">
      <c r="A2459">
        <v>3324</v>
      </c>
      <c r="B2459" t="s">
        <v>3091</v>
      </c>
      <c r="C2459" t="str">
        <f>"469003199609297013"</f>
        <v>469003199609297013</v>
      </c>
      <c r="D2459" t="str">
        <f>"248030200114"</f>
        <v>248030200114</v>
      </c>
      <c r="L2459">
        <v>3324</v>
      </c>
      <c r="M2459" t="s">
        <v>3091</v>
      </c>
      <c r="N2459" t="str">
        <f>"248030200114"</f>
        <v>248030200114</v>
      </c>
      <c r="O2459" t="str">
        <f>"469003199609297013"</f>
        <v>469003199609297013</v>
      </c>
    </row>
    <row r="2460" customFormat="1" spans="1:15">
      <c r="A2460">
        <v>3325</v>
      </c>
      <c r="B2460" t="s">
        <v>3092</v>
      </c>
      <c r="C2460" t="str">
        <f>"410883199605050329"</f>
        <v>410883199605050329</v>
      </c>
      <c r="D2460" t="str">
        <f>"248030202910"</f>
        <v>248030202910</v>
      </c>
      <c r="L2460">
        <v>3325</v>
      </c>
      <c r="M2460" t="s">
        <v>3092</v>
      </c>
      <c r="N2460" t="str">
        <f>"248030202910"</f>
        <v>248030202910</v>
      </c>
      <c r="O2460" t="str">
        <f>"410883199605050329"</f>
        <v>410883199605050329</v>
      </c>
    </row>
    <row r="2461" customFormat="1" spans="1:15">
      <c r="A2461">
        <v>3327</v>
      </c>
      <c r="B2461" t="s">
        <v>3093</v>
      </c>
      <c r="C2461" t="str">
        <f>"460033199703154481"</f>
        <v>460033199703154481</v>
      </c>
      <c r="D2461" t="str">
        <f>"248030500622"</f>
        <v>248030500622</v>
      </c>
      <c r="L2461">
        <v>3327</v>
      </c>
      <c r="M2461" t="s">
        <v>3093</v>
      </c>
      <c r="N2461" t="str">
        <f>"248030500622"</f>
        <v>248030500622</v>
      </c>
      <c r="O2461" t="str">
        <f>"460033199703154481"</f>
        <v>460033199703154481</v>
      </c>
    </row>
    <row r="2462" customFormat="1" spans="1:15">
      <c r="A2462">
        <v>3328</v>
      </c>
      <c r="B2462" t="s">
        <v>3094</v>
      </c>
      <c r="C2462" t="str">
        <f>"452226199905261223"</f>
        <v>452226199905261223</v>
      </c>
      <c r="D2462" t="str">
        <f>"248030403316"</f>
        <v>248030403316</v>
      </c>
      <c r="L2462">
        <v>3328</v>
      </c>
      <c r="M2462" t="s">
        <v>3094</v>
      </c>
      <c r="N2462" t="str">
        <f>"248030403316"</f>
        <v>248030403316</v>
      </c>
      <c r="O2462" t="str">
        <f>"452226199905261223"</f>
        <v>452226199905261223</v>
      </c>
    </row>
    <row r="2463" customFormat="1" spans="1:15">
      <c r="A2463">
        <v>3329</v>
      </c>
      <c r="B2463" t="s">
        <v>3095</v>
      </c>
      <c r="C2463" t="str">
        <f>"460033199502253264"</f>
        <v>460033199502253264</v>
      </c>
      <c r="D2463" t="str">
        <f>"248030400522"</f>
        <v>248030400522</v>
      </c>
      <c r="L2463">
        <v>3329</v>
      </c>
      <c r="M2463" t="s">
        <v>3095</v>
      </c>
      <c r="N2463" t="str">
        <f>"248030400522"</f>
        <v>248030400522</v>
      </c>
      <c r="O2463" t="str">
        <f>"460033199502253264"</f>
        <v>460033199502253264</v>
      </c>
    </row>
    <row r="2464" customFormat="1" spans="1:15">
      <c r="A2464">
        <v>3331</v>
      </c>
      <c r="B2464" t="s">
        <v>3096</v>
      </c>
      <c r="C2464" t="str">
        <f>"14240219940107451X"</f>
        <v>14240219940107451X</v>
      </c>
      <c r="L2464">
        <v>3331</v>
      </c>
      <c r="M2464" t="s">
        <v>3096</v>
      </c>
      <c r="O2464" t="str">
        <f>"14240219940107451X"</f>
        <v>14240219940107451X</v>
      </c>
    </row>
    <row r="2465" customFormat="1" spans="1:15">
      <c r="A2465">
        <v>3332</v>
      </c>
      <c r="B2465" t="s">
        <v>3097</v>
      </c>
      <c r="C2465" t="str">
        <f>"46003319960620028X"</f>
        <v>46003319960620028X</v>
      </c>
      <c r="D2465" t="str">
        <f>"248030301723"</f>
        <v>248030301723</v>
      </c>
      <c r="L2465">
        <v>3332</v>
      </c>
      <c r="M2465" t="s">
        <v>3097</v>
      </c>
      <c r="N2465" t="str">
        <f>"248030301723"</f>
        <v>248030301723</v>
      </c>
      <c r="O2465" t="str">
        <f>"46003319960620028X"</f>
        <v>46003319960620028X</v>
      </c>
    </row>
    <row r="2466" customFormat="1" spans="1:15">
      <c r="A2466">
        <v>3334</v>
      </c>
      <c r="B2466" t="s">
        <v>3098</v>
      </c>
      <c r="C2466" t="str">
        <f>"46010320000314156X"</f>
        <v>46010320000314156X</v>
      </c>
      <c r="D2466" t="str">
        <f>"248030400907"</f>
        <v>248030400907</v>
      </c>
      <c r="L2466">
        <v>3334</v>
      </c>
      <c r="M2466" t="s">
        <v>3098</v>
      </c>
      <c r="N2466" t="str">
        <f>"248030400907"</f>
        <v>248030400907</v>
      </c>
      <c r="O2466" t="str">
        <f>"46010320000314156X"</f>
        <v>46010320000314156X</v>
      </c>
    </row>
    <row r="2467" customFormat="1" spans="1:15">
      <c r="A2467">
        <v>3336</v>
      </c>
      <c r="B2467" t="s">
        <v>3099</v>
      </c>
      <c r="C2467" t="str">
        <f>"460102198812031823"</f>
        <v>460102198812031823</v>
      </c>
      <c r="L2467">
        <v>3336</v>
      </c>
      <c r="M2467" t="s">
        <v>3099</v>
      </c>
      <c r="O2467" t="str">
        <f>"460102198812031823"</f>
        <v>460102198812031823</v>
      </c>
    </row>
    <row r="2468" customFormat="1" spans="1:15">
      <c r="A2468">
        <v>3338</v>
      </c>
      <c r="B2468" t="s">
        <v>3100</v>
      </c>
      <c r="C2468" t="str">
        <f>"469024200011296013"</f>
        <v>469024200011296013</v>
      </c>
      <c r="D2468" t="str">
        <f>"248030302017"</f>
        <v>248030302017</v>
      </c>
      <c r="L2468">
        <v>3338</v>
      </c>
      <c r="M2468" t="s">
        <v>3100</v>
      </c>
      <c r="N2468" t="str">
        <f>"248030302017"</f>
        <v>248030302017</v>
      </c>
      <c r="O2468" t="str">
        <f>"469024200011296013"</f>
        <v>469024200011296013</v>
      </c>
    </row>
    <row r="2469" customFormat="1" spans="1:15">
      <c r="A2469">
        <v>3339</v>
      </c>
      <c r="B2469" t="s">
        <v>595</v>
      </c>
      <c r="C2469" t="str">
        <f>"460028200205270038"</f>
        <v>460028200205270038</v>
      </c>
      <c r="D2469" t="str">
        <f>"248030103503"</f>
        <v>248030103503</v>
      </c>
      <c r="L2469">
        <v>3339</v>
      </c>
      <c r="M2469" t="s">
        <v>595</v>
      </c>
      <c r="N2469" t="str">
        <f>"248030103503"</f>
        <v>248030103503</v>
      </c>
      <c r="O2469" t="str">
        <f>"460028200205270038"</f>
        <v>460028200205270038</v>
      </c>
    </row>
    <row r="2470" customFormat="1" spans="1:15">
      <c r="A2470">
        <v>3340</v>
      </c>
      <c r="B2470" t="s">
        <v>3101</v>
      </c>
      <c r="C2470" t="str">
        <f>"460028199608200469"</f>
        <v>460028199608200469</v>
      </c>
      <c r="D2470" t="str">
        <f>"248030500224"</f>
        <v>248030500224</v>
      </c>
      <c r="L2470">
        <v>3340</v>
      </c>
      <c r="M2470" t="s">
        <v>3101</v>
      </c>
      <c r="N2470" t="str">
        <f>"248030500224"</f>
        <v>248030500224</v>
      </c>
      <c r="O2470" t="str">
        <f>"460028199608200469"</f>
        <v>460028199608200469</v>
      </c>
    </row>
    <row r="2471" customFormat="1" spans="1:15">
      <c r="A2471">
        <v>3341</v>
      </c>
      <c r="B2471" t="s">
        <v>3102</v>
      </c>
      <c r="C2471" t="str">
        <f>"460031199704215642"</f>
        <v>460031199704215642</v>
      </c>
      <c r="D2471" t="str">
        <f>"248030502716"</f>
        <v>248030502716</v>
      </c>
      <c r="L2471">
        <v>3341</v>
      </c>
      <c r="M2471" t="s">
        <v>3102</v>
      </c>
      <c r="N2471" t="str">
        <f>"248030502716"</f>
        <v>248030502716</v>
      </c>
      <c r="O2471" t="str">
        <f>"460031199704215642"</f>
        <v>460031199704215642</v>
      </c>
    </row>
    <row r="2472" customFormat="1" spans="1:15">
      <c r="A2472">
        <v>3342</v>
      </c>
      <c r="B2472" t="s">
        <v>400</v>
      </c>
      <c r="C2472" t="str">
        <f>"460004199207105822"</f>
        <v>460004199207105822</v>
      </c>
      <c r="D2472" t="str">
        <f>"248030101817"</f>
        <v>248030101817</v>
      </c>
      <c r="L2472">
        <v>3342</v>
      </c>
      <c r="M2472" t="s">
        <v>400</v>
      </c>
      <c r="N2472" t="str">
        <f>"248030101817"</f>
        <v>248030101817</v>
      </c>
      <c r="O2472" t="str">
        <f>"460004199207105822"</f>
        <v>460004199207105822</v>
      </c>
    </row>
    <row r="2473" customFormat="1" spans="1:15">
      <c r="A2473">
        <v>3343</v>
      </c>
      <c r="B2473" t="s">
        <v>3103</v>
      </c>
      <c r="C2473" t="str">
        <f>"460006199604210928"</f>
        <v>460006199604210928</v>
      </c>
      <c r="L2473">
        <v>3343</v>
      </c>
      <c r="M2473" t="s">
        <v>3103</v>
      </c>
      <c r="O2473" t="str">
        <f>"460006199604210928"</f>
        <v>460006199604210928</v>
      </c>
    </row>
    <row r="2474" customFormat="1" spans="1:15">
      <c r="A2474">
        <v>3344</v>
      </c>
      <c r="B2474" t="s">
        <v>3104</v>
      </c>
      <c r="C2474" t="str">
        <f>"46000619980810166X"</f>
        <v>46000619980810166X</v>
      </c>
      <c r="D2474" t="str">
        <f>"248030104916"</f>
        <v>248030104916</v>
      </c>
      <c r="L2474">
        <v>3344</v>
      </c>
      <c r="M2474" t="s">
        <v>3104</v>
      </c>
      <c r="N2474" t="str">
        <f>"248030104916"</f>
        <v>248030104916</v>
      </c>
      <c r="O2474" t="str">
        <f>"46000619980810166X"</f>
        <v>46000619980810166X</v>
      </c>
    </row>
    <row r="2475" customFormat="1" spans="1:15">
      <c r="A2475">
        <v>3345</v>
      </c>
      <c r="B2475" t="s">
        <v>3105</v>
      </c>
      <c r="C2475" t="str">
        <f>"460006199806102351"</f>
        <v>460006199806102351</v>
      </c>
      <c r="D2475" t="str">
        <f>"248030201128"</f>
        <v>248030201128</v>
      </c>
      <c r="L2475">
        <v>3345</v>
      </c>
      <c r="M2475" t="s">
        <v>3105</v>
      </c>
      <c r="N2475" t="str">
        <f>"248030201128"</f>
        <v>248030201128</v>
      </c>
      <c r="O2475" t="str">
        <f>"460006199806102351"</f>
        <v>460006199806102351</v>
      </c>
    </row>
    <row r="2476" customFormat="1" spans="1:15">
      <c r="A2476">
        <v>3346</v>
      </c>
      <c r="B2476" t="s">
        <v>3106</v>
      </c>
      <c r="C2476" t="str">
        <f>"370126199908111514"</f>
        <v>370126199908111514</v>
      </c>
      <c r="D2476" t="str">
        <f>"248030202330"</f>
        <v>248030202330</v>
      </c>
      <c r="L2476">
        <v>3346</v>
      </c>
      <c r="M2476" t="s">
        <v>3106</v>
      </c>
      <c r="N2476" t="str">
        <f>"248030202330"</f>
        <v>248030202330</v>
      </c>
      <c r="O2476" t="str">
        <f>"370126199908111514"</f>
        <v>370126199908111514</v>
      </c>
    </row>
    <row r="2477" customFormat="1" spans="1:15">
      <c r="A2477">
        <v>3347</v>
      </c>
      <c r="B2477" t="s">
        <v>3107</v>
      </c>
      <c r="C2477" t="str">
        <f>"460034199706230925"</f>
        <v>460034199706230925</v>
      </c>
      <c r="D2477" t="str">
        <f>"248030400529"</f>
        <v>248030400529</v>
      </c>
      <c r="L2477">
        <v>3347</v>
      </c>
      <c r="M2477" t="s">
        <v>3107</v>
      </c>
      <c r="N2477" t="str">
        <f>"248030400529"</f>
        <v>248030400529</v>
      </c>
      <c r="O2477" t="str">
        <f>"460034199706230925"</f>
        <v>460034199706230925</v>
      </c>
    </row>
    <row r="2478" customFormat="1" spans="1:15">
      <c r="A2478">
        <v>3348</v>
      </c>
      <c r="B2478" t="s">
        <v>3108</v>
      </c>
      <c r="C2478" t="str">
        <f>"460007199308087626"</f>
        <v>460007199308087626</v>
      </c>
      <c r="D2478" t="str">
        <f>"248030401312"</f>
        <v>248030401312</v>
      </c>
      <c r="L2478">
        <v>3348</v>
      </c>
      <c r="M2478" t="s">
        <v>3108</v>
      </c>
      <c r="N2478" t="str">
        <f>"248030401312"</f>
        <v>248030401312</v>
      </c>
      <c r="O2478" t="str">
        <f>"460007199308087626"</f>
        <v>460007199308087626</v>
      </c>
    </row>
    <row r="2479" customFormat="1" spans="1:15">
      <c r="A2479">
        <v>3349</v>
      </c>
      <c r="B2479" t="s">
        <v>3109</v>
      </c>
      <c r="C2479" t="str">
        <f>"46000319921217624X"</f>
        <v>46000319921217624X</v>
      </c>
      <c r="L2479">
        <v>3349</v>
      </c>
      <c r="M2479" t="s">
        <v>3109</v>
      </c>
      <c r="O2479" t="str">
        <f>"46000319921217624X"</f>
        <v>46000319921217624X</v>
      </c>
    </row>
    <row r="2480" customFormat="1" spans="1:15">
      <c r="A2480">
        <v>3350</v>
      </c>
      <c r="B2480" t="s">
        <v>3110</v>
      </c>
      <c r="C2480" t="str">
        <f>"460200199310123362"</f>
        <v>460200199310123362</v>
      </c>
      <c r="D2480" t="str">
        <f>"248030102524"</f>
        <v>248030102524</v>
      </c>
      <c r="L2480">
        <v>3350</v>
      </c>
      <c r="M2480" t="s">
        <v>3110</v>
      </c>
      <c r="N2480" t="str">
        <f>"248030102524"</f>
        <v>248030102524</v>
      </c>
      <c r="O2480" t="str">
        <f>"460200199310123362"</f>
        <v>460200199310123362</v>
      </c>
    </row>
    <row r="2481" customFormat="1" spans="1:15">
      <c r="A2481">
        <v>3351</v>
      </c>
      <c r="B2481" t="s">
        <v>3111</v>
      </c>
      <c r="C2481" t="str">
        <f>"460026200009220946"</f>
        <v>460026200009220946</v>
      </c>
      <c r="D2481" t="str">
        <f>"248030500711"</f>
        <v>248030500711</v>
      </c>
      <c r="L2481">
        <v>3351</v>
      </c>
      <c r="M2481" t="s">
        <v>3111</v>
      </c>
      <c r="N2481" t="str">
        <f>"248030500711"</f>
        <v>248030500711</v>
      </c>
      <c r="O2481" t="str">
        <f>"460026200009220946"</f>
        <v>460026200009220946</v>
      </c>
    </row>
    <row r="2482" customFormat="1" spans="1:15">
      <c r="A2482">
        <v>3353</v>
      </c>
      <c r="B2482" t="s">
        <v>3112</v>
      </c>
      <c r="C2482" t="str">
        <f>"46900319990620272X"</f>
        <v>46900319990620272X</v>
      </c>
      <c r="D2482" t="str">
        <f>"248030300709"</f>
        <v>248030300709</v>
      </c>
      <c r="L2482">
        <v>3353</v>
      </c>
      <c r="M2482" t="s">
        <v>3112</v>
      </c>
      <c r="N2482" t="str">
        <f>"248030300709"</f>
        <v>248030300709</v>
      </c>
      <c r="O2482" t="str">
        <f>"46900319990620272X"</f>
        <v>46900319990620272X</v>
      </c>
    </row>
    <row r="2483" customFormat="1" spans="1:15">
      <c r="A2483">
        <v>3354</v>
      </c>
      <c r="B2483" t="s">
        <v>3113</v>
      </c>
      <c r="C2483" t="str">
        <f>"450922199511104648"</f>
        <v>450922199511104648</v>
      </c>
      <c r="D2483" t="str">
        <f>"248030503403"</f>
        <v>248030503403</v>
      </c>
      <c r="L2483">
        <v>3354</v>
      </c>
      <c r="M2483" t="s">
        <v>3113</v>
      </c>
      <c r="N2483" t="str">
        <f>"248030503403"</f>
        <v>248030503403</v>
      </c>
      <c r="O2483" t="str">
        <f>"450922199511104648"</f>
        <v>450922199511104648</v>
      </c>
    </row>
    <row r="2484" customFormat="1" spans="1:15">
      <c r="A2484">
        <v>3356</v>
      </c>
      <c r="B2484" t="s">
        <v>3114</v>
      </c>
      <c r="C2484" t="str">
        <f>"460003199802188822"</f>
        <v>460003199802188822</v>
      </c>
      <c r="D2484" t="str">
        <f>"248030202928"</f>
        <v>248030202928</v>
      </c>
      <c r="L2484">
        <v>3356</v>
      </c>
      <c r="M2484" t="s">
        <v>3114</v>
      </c>
      <c r="N2484" t="str">
        <f>"248030202928"</f>
        <v>248030202928</v>
      </c>
      <c r="O2484" t="str">
        <f>"460003199802188822"</f>
        <v>460003199802188822</v>
      </c>
    </row>
    <row r="2485" customFormat="1" spans="1:15">
      <c r="A2485">
        <v>3357</v>
      </c>
      <c r="B2485" t="s">
        <v>3115</v>
      </c>
      <c r="C2485" t="str">
        <f>"460027199904132329"</f>
        <v>460027199904132329</v>
      </c>
      <c r="D2485" t="str">
        <f>"248030103319"</f>
        <v>248030103319</v>
      </c>
      <c r="L2485">
        <v>3357</v>
      </c>
      <c r="M2485" t="s">
        <v>3115</v>
      </c>
      <c r="N2485" t="str">
        <f>"248030103319"</f>
        <v>248030103319</v>
      </c>
      <c r="O2485" t="str">
        <f>"460027199904132329"</f>
        <v>460027199904132329</v>
      </c>
    </row>
    <row r="2486" customFormat="1" spans="1:15">
      <c r="A2486">
        <v>3358</v>
      </c>
      <c r="B2486" t="s">
        <v>3116</v>
      </c>
      <c r="C2486" t="str">
        <f>"469003200111106422"</f>
        <v>469003200111106422</v>
      </c>
      <c r="D2486" t="str">
        <f>"248030301306"</f>
        <v>248030301306</v>
      </c>
      <c r="L2486">
        <v>3358</v>
      </c>
      <c r="M2486" t="s">
        <v>3116</v>
      </c>
      <c r="N2486" t="str">
        <f>"248030301306"</f>
        <v>248030301306</v>
      </c>
      <c r="O2486" t="str">
        <f>"469003200111106422"</f>
        <v>469003200111106422</v>
      </c>
    </row>
    <row r="2487" customFormat="1" spans="1:15">
      <c r="A2487">
        <v>3359</v>
      </c>
      <c r="B2487" t="s">
        <v>3117</v>
      </c>
      <c r="C2487" t="str">
        <f>"460003199605035827"</f>
        <v>460003199605035827</v>
      </c>
      <c r="D2487" t="str">
        <f>"248030105005"</f>
        <v>248030105005</v>
      </c>
      <c r="L2487">
        <v>3359</v>
      </c>
      <c r="M2487" t="s">
        <v>3117</v>
      </c>
      <c r="N2487" t="str">
        <f>"248030105005"</f>
        <v>248030105005</v>
      </c>
      <c r="O2487" t="str">
        <f>"460003199605035827"</f>
        <v>460003199605035827</v>
      </c>
    </row>
    <row r="2488" customFormat="1" spans="1:15">
      <c r="A2488">
        <v>3360</v>
      </c>
      <c r="B2488" t="s">
        <v>3118</v>
      </c>
      <c r="C2488" t="str">
        <f>"230182198907011488"</f>
        <v>230182198907011488</v>
      </c>
      <c r="D2488" t="str">
        <f>"248030501323"</f>
        <v>248030501323</v>
      </c>
      <c r="L2488">
        <v>3360</v>
      </c>
      <c r="M2488" t="s">
        <v>3118</v>
      </c>
      <c r="N2488" t="str">
        <f>"248030501323"</f>
        <v>248030501323</v>
      </c>
      <c r="O2488" t="str">
        <f>"230182198907011488"</f>
        <v>230182198907011488</v>
      </c>
    </row>
    <row r="2489" customFormat="1" spans="1:15">
      <c r="A2489">
        <v>3361</v>
      </c>
      <c r="B2489" t="s">
        <v>3119</v>
      </c>
      <c r="C2489" t="str">
        <f>"460007199711130057"</f>
        <v>460007199711130057</v>
      </c>
      <c r="D2489" t="str">
        <f>"248030201618"</f>
        <v>248030201618</v>
      </c>
      <c r="L2489">
        <v>3361</v>
      </c>
      <c r="M2489" t="s">
        <v>3119</v>
      </c>
      <c r="N2489" t="str">
        <f>"248030201618"</f>
        <v>248030201618</v>
      </c>
      <c r="O2489" t="str">
        <f>"460007199711130057"</f>
        <v>460007199711130057</v>
      </c>
    </row>
    <row r="2490" customFormat="1" spans="1:15">
      <c r="A2490">
        <v>3362</v>
      </c>
      <c r="B2490" t="s">
        <v>3120</v>
      </c>
      <c r="C2490" t="str">
        <f>"460104199703150927"</f>
        <v>460104199703150927</v>
      </c>
      <c r="D2490" t="str">
        <f>"248030202004"</f>
        <v>248030202004</v>
      </c>
      <c r="L2490">
        <v>3362</v>
      </c>
      <c r="M2490" t="s">
        <v>3120</v>
      </c>
      <c r="N2490" t="str">
        <f>"248030202004"</f>
        <v>248030202004</v>
      </c>
      <c r="O2490" t="str">
        <f>"460104199703150927"</f>
        <v>460104199703150927</v>
      </c>
    </row>
    <row r="2491" customFormat="1" spans="1:15">
      <c r="A2491">
        <v>3363</v>
      </c>
      <c r="B2491" t="s">
        <v>3121</v>
      </c>
      <c r="C2491" t="str">
        <f>"469026199511225243"</f>
        <v>469026199511225243</v>
      </c>
      <c r="L2491">
        <v>3363</v>
      </c>
      <c r="M2491" t="s">
        <v>3121</v>
      </c>
      <c r="O2491" t="str">
        <f>"469026199511225243"</f>
        <v>469026199511225243</v>
      </c>
    </row>
    <row r="2492" customFormat="1" spans="1:15">
      <c r="A2492">
        <v>3364</v>
      </c>
      <c r="B2492" t="s">
        <v>3122</v>
      </c>
      <c r="C2492" t="str">
        <f>"420112200105281810"</f>
        <v>420112200105281810</v>
      </c>
      <c r="D2492" t="str">
        <f>"248030201625"</f>
        <v>248030201625</v>
      </c>
      <c r="L2492">
        <v>3364</v>
      </c>
      <c r="M2492" t="s">
        <v>3122</v>
      </c>
      <c r="N2492" t="str">
        <f>"248030201625"</f>
        <v>248030201625</v>
      </c>
      <c r="O2492" t="str">
        <f>"420112200105281810"</f>
        <v>420112200105281810</v>
      </c>
    </row>
    <row r="2493" customFormat="1" spans="1:15">
      <c r="A2493">
        <v>3365</v>
      </c>
      <c r="B2493" t="s">
        <v>3123</v>
      </c>
      <c r="C2493" t="str">
        <f>"460007199807205922"</f>
        <v>460007199807205922</v>
      </c>
      <c r="D2493" t="str">
        <f>"248030104408"</f>
        <v>248030104408</v>
      </c>
      <c r="L2493">
        <v>3365</v>
      </c>
      <c r="M2493" t="s">
        <v>3123</v>
      </c>
      <c r="N2493" t="str">
        <f>"248030104408"</f>
        <v>248030104408</v>
      </c>
      <c r="O2493" t="str">
        <f>"460007199807205922"</f>
        <v>460007199807205922</v>
      </c>
    </row>
    <row r="2494" customFormat="1" spans="1:15">
      <c r="A2494">
        <v>3367</v>
      </c>
      <c r="B2494" t="s">
        <v>3124</v>
      </c>
      <c r="C2494" t="str">
        <f>"460103200006090323"</f>
        <v>460103200006090323</v>
      </c>
      <c r="L2494">
        <v>3367</v>
      </c>
      <c r="M2494" t="s">
        <v>3124</v>
      </c>
      <c r="O2494" t="str">
        <f>"460103200006090323"</f>
        <v>460103200006090323</v>
      </c>
    </row>
    <row r="2495" customFormat="1" spans="1:15">
      <c r="A2495">
        <v>3368</v>
      </c>
      <c r="B2495" t="s">
        <v>3125</v>
      </c>
      <c r="C2495" t="str">
        <f>"460001199701071921"</f>
        <v>460001199701071921</v>
      </c>
      <c r="D2495" t="str">
        <f>"248030201405"</f>
        <v>248030201405</v>
      </c>
      <c r="L2495">
        <v>3368</v>
      </c>
      <c r="M2495" t="s">
        <v>3125</v>
      </c>
      <c r="N2495" t="str">
        <f>"248030201405"</f>
        <v>248030201405</v>
      </c>
      <c r="O2495" t="str">
        <f>"460001199701071921"</f>
        <v>460001199701071921</v>
      </c>
    </row>
    <row r="2496" customFormat="1" spans="1:15">
      <c r="A2496">
        <v>3369</v>
      </c>
      <c r="B2496" t="s">
        <v>3126</v>
      </c>
      <c r="C2496" t="str">
        <f>"460021198905034429"</f>
        <v>460021198905034429</v>
      </c>
      <c r="D2496" t="str">
        <f>"248030403427"</f>
        <v>248030403427</v>
      </c>
      <c r="L2496">
        <v>3369</v>
      </c>
      <c r="M2496" t="s">
        <v>3126</v>
      </c>
      <c r="N2496" t="str">
        <f>"248030403427"</f>
        <v>248030403427</v>
      </c>
      <c r="O2496" t="str">
        <f>"460021198905034429"</f>
        <v>460021198905034429</v>
      </c>
    </row>
    <row r="2497" customFormat="1" spans="1:15">
      <c r="A2497">
        <v>3370</v>
      </c>
      <c r="B2497" t="s">
        <v>3127</v>
      </c>
      <c r="C2497" t="str">
        <f>"460007199904085037"</f>
        <v>460007199904085037</v>
      </c>
      <c r="D2497" t="str">
        <f>"248030201506"</f>
        <v>248030201506</v>
      </c>
      <c r="L2497">
        <v>3370</v>
      </c>
      <c r="M2497" t="s">
        <v>3127</v>
      </c>
      <c r="N2497" t="str">
        <f>"248030201506"</f>
        <v>248030201506</v>
      </c>
      <c r="O2497" t="str">
        <f>"460007199904085037"</f>
        <v>460007199904085037</v>
      </c>
    </row>
    <row r="2498" customFormat="1" spans="1:15">
      <c r="A2498">
        <v>3371</v>
      </c>
      <c r="B2498" t="s">
        <v>3128</v>
      </c>
      <c r="C2498" t="str">
        <f>"460006199703183427"</f>
        <v>460006199703183427</v>
      </c>
      <c r="D2498" t="str">
        <f>"248030100210"</f>
        <v>248030100210</v>
      </c>
      <c r="L2498">
        <v>3371</v>
      </c>
      <c r="M2498" t="s">
        <v>3128</v>
      </c>
      <c r="N2498" t="str">
        <f>"248030100210"</f>
        <v>248030100210</v>
      </c>
      <c r="O2498" t="str">
        <f>"460006199703183427"</f>
        <v>460006199703183427</v>
      </c>
    </row>
    <row r="2499" customFormat="1" spans="1:15">
      <c r="A2499">
        <v>3372</v>
      </c>
      <c r="B2499" t="s">
        <v>3129</v>
      </c>
      <c r="C2499" t="str">
        <f>"460007199602287629"</f>
        <v>460007199602287629</v>
      </c>
      <c r="D2499" t="str">
        <f>"248030400422"</f>
        <v>248030400422</v>
      </c>
      <c r="L2499">
        <v>3372</v>
      </c>
      <c r="M2499" t="s">
        <v>3129</v>
      </c>
      <c r="N2499" t="str">
        <f>"248030400422"</f>
        <v>248030400422</v>
      </c>
      <c r="O2499" t="str">
        <f>"460007199602287629"</f>
        <v>460007199602287629</v>
      </c>
    </row>
    <row r="2500" customFormat="1" spans="1:15">
      <c r="A2500">
        <v>3373</v>
      </c>
      <c r="B2500" t="s">
        <v>756</v>
      </c>
      <c r="C2500" t="str">
        <f>"460003199403097624"</f>
        <v>460003199403097624</v>
      </c>
      <c r="D2500" t="str">
        <f>"248030200722"</f>
        <v>248030200722</v>
      </c>
      <c r="L2500">
        <v>3373</v>
      </c>
      <c r="M2500" t="s">
        <v>756</v>
      </c>
      <c r="N2500" t="str">
        <f>"248030200722"</f>
        <v>248030200722</v>
      </c>
      <c r="O2500" t="str">
        <f>"460003199403097624"</f>
        <v>460003199403097624</v>
      </c>
    </row>
    <row r="2501" customFormat="1" spans="1:15">
      <c r="A2501">
        <v>3374</v>
      </c>
      <c r="B2501" t="s">
        <v>3130</v>
      </c>
      <c r="C2501" t="str">
        <f>"433130199709046127"</f>
        <v>433130199709046127</v>
      </c>
      <c r="D2501" t="str">
        <f>"248030203007"</f>
        <v>248030203007</v>
      </c>
      <c r="L2501">
        <v>3374</v>
      </c>
      <c r="M2501" t="s">
        <v>3130</v>
      </c>
      <c r="N2501" t="str">
        <f>"248030203007"</f>
        <v>248030203007</v>
      </c>
      <c r="O2501" t="str">
        <f>"433130199709046127"</f>
        <v>433130199709046127</v>
      </c>
    </row>
    <row r="2502" customFormat="1" spans="1:15">
      <c r="A2502">
        <v>3375</v>
      </c>
      <c r="B2502" t="s">
        <v>3131</v>
      </c>
      <c r="C2502" t="str">
        <f>"460022199404192526"</f>
        <v>460022199404192526</v>
      </c>
      <c r="D2502" t="str">
        <f>"248030100413"</f>
        <v>248030100413</v>
      </c>
      <c r="L2502">
        <v>3375</v>
      </c>
      <c r="M2502" t="s">
        <v>3131</v>
      </c>
      <c r="N2502" t="str">
        <f>"248030100413"</f>
        <v>248030100413</v>
      </c>
      <c r="O2502" t="str">
        <f>"460022199404192526"</f>
        <v>460022199404192526</v>
      </c>
    </row>
    <row r="2503" customFormat="1" spans="1:15">
      <c r="A2503">
        <v>3376</v>
      </c>
      <c r="B2503" t="s">
        <v>3132</v>
      </c>
      <c r="C2503" t="str">
        <f>"460004199205133643"</f>
        <v>460004199205133643</v>
      </c>
      <c r="D2503" t="str">
        <f>"248030402506"</f>
        <v>248030402506</v>
      </c>
      <c r="L2503">
        <v>3376</v>
      </c>
      <c r="M2503" t="s">
        <v>3132</v>
      </c>
      <c r="N2503" t="str">
        <f>"248030402506"</f>
        <v>248030402506</v>
      </c>
      <c r="O2503" t="str">
        <f>"460004199205133643"</f>
        <v>460004199205133643</v>
      </c>
    </row>
    <row r="2504" customFormat="1" spans="1:15">
      <c r="A2504">
        <v>3378</v>
      </c>
      <c r="B2504" t="s">
        <v>3133</v>
      </c>
      <c r="C2504" t="str">
        <f>"460106200110313426"</f>
        <v>460106200110313426</v>
      </c>
      <c r="D2504" t="str">
        <f>"248030100309"</f>
        <v>248030100309</v>
      </c>
      <c r="L2504">
        <v>3378</v>
      </c>
      <c r="M2504" t="s">
        <v>3133</v>
      </c>
      <c r="N2504" t="str">
        <f>"248030100309"</f>
        <v>248030100309</v>
      </c>
      <c r="O2504" t="str">
        <f>"460106200110313426"</f>
        <v>460106200110313426</v>
      </c>
    </row>
    <row r="2505" customFormat="1" spans="1:15">
      <c r="A2505">
        <v>3379</v>
      </c>
      <c r="B2505" t="s">
        <v>3134</v>
      </c>
      <c r="C2505" t="str">
        <f>"469003200204146714"</f>
        <v>469003200204146714</v>
      </c>
      <c r="D2505" t="str">
        <f>"248030202102"</f>
        <v>248030202102</v>
      </c>
      <c r="L2505">
        <v>3379</v>
      </c>
      <c r="M2505" t="s">
        <v>3134</v>
      </c>
      <c r="N2505" t="str">
        <f>"248030202102"</f>
        <v>248030202102</v>
      </c>
      <c r="O2505" t="str">
        <f>"469003200204146714"</f>
        <v>469003200204146714</v>
      </c>
    </row>
    <row r="2506" customFormat="1" spans="1:15">
      <c r="A2506">
        <v>3380</v>
      </c>
      <c r="B2506" t="s">
        <v>3135</v>
      </c>
      <c r="C2506" t="str">
        <f>"469024199807113221"</f>
        <v>469024199807113221</v>
      </c>
      <c r="D2506" t="str">
        <f>"248030200717"</f>
        <v>248030200717</v>
      </c>
      <c r="L2506">
        <v>3380</v>
      </c>
      <c r="M2506" t="s">
        <v>3135</v>
      </c>
      <c r="N2506" t="str">
        <f>"248030200717"</f>
        <v>248030200717</v>
      </c>
      <c r="O2506" t="str">
        <f>"469024199807113221"</f>
        <v>469024199807113221</v>
      </c>
    </row>
    <row r="2507" customFormat="1" spans="1:15">
      <c r="A2507">
        <v>3384</v>
      </c>
      <c r="B2507" t="s">
        <v>3136</v>
      </c>
      <c r="C2507" t="str">
        <f>"441882199810256625"</f>
        <v>441882199810256625</v>
      </c>
      <c r="D2507" t="str">
        <f>"248030104416"</f>
        <v>248030104416</v>
      </c>
      <c r="L2507">
        <v>3384</v>
      </c>
      <c r="M2507" t="s">
        <v>3136</v>
      </c>
      <c r="N2507" t="str">
        <f>"248030104416"</f>
        <v>248030104416</v>
      </c>
      <c r="O2507" t="str">
        <f>"441882199810256625"</f>
        <v>441882199810256625</v>
      </c>
    </row>
    <row r="2508" customFormat="1" spans="1:15">
      <c r="A2508">
        <v>3387</v>
      </c>
      <c r="B2508" t="s">
        <v>3137</v>
      </c>
      <c r="C2508" t="str">
        <f>"460102199806042125"</f>
        <v>460102199806042125</v>
      </c>
      <c r="D2508" t="str">
        <f>"248030503101"</f>
        <v>248030503101</v>
      </c>
      <c r="L2508">
        <v>3387</v>
      </c>
      <c r="M2508" t="s">
        <v>3137</v>
      </c>
      <c r="N2508" t="str">
        <f>"248030503101"</f>
        <v>248030503101</v>
      </c>
      <c r="O2508" t="str">
        <f>"460102199806042125"</f>
        <v>460102199806042125</v>
      </c>
    </row>
    <row r="2509" customFormat="1" spans="1:15">
      <c r="A2509">
        <v>3388</v>
      </c>
      <c r="B2509" t="s">
        <v>3138</v>
      </c>
      <c r="C2509" t="str">
        <f>"510304199412162624"</f>
        <v>510304199412162624</v>
      </c>
      <c r="D2509" t="str">
        <f>"248030503307"</f>
        <v>248030503307</v>
      </c>
      <c r="L2509">
        <v>3388</v>
      </c>
      <c r="M2509" t="s">
        <v>3138</v>
      </c>
      <c r="N2509" t="str">
        <f>"248030503307"</f>
        <v>248030503307</v>
      </c>
      <c r="O2509" t="str">
        <f>"510304199412162624"</f>
        <v>510304199412162624</v>
      </c>
    </row>
    <row r="2510" customFormat="1" spans="1:15">
      <c r="A2510">
        <v>3389</v>
      </c>
      <c r="B2510" t="s">
        <v>3139</v>
      </c>
      <c r="C2510" t="str">
        <f>"511111199612091713"</f>
        <v>511111199612091713</v>
      </c>
      <c r="D2510" t="str">
        <f>"248030201925"</f>
        <v>248030201925</v>
      </c>
      <c r="L2510">
        <v>3389</v>
      </c>
      <c r="M2510" t="s">
        <v>3139</v>
      </c>
      <c r="N2510" t="str">
        <f>"248030201925"</f>
        <v>248030201925</v>
      </c>
      <c r="O2510" t="str">
        <f>"511111199612091713"</f>
        <v>511111199612091713</v>
      </c>
    </row>
    <row r="2511" customFormat="1" spans="1:15">
      <c r="A2511">
        <v>3391</v>
      </c>
      <c r="B2511" t="s">
        <v>3140</v>
      </c>
      <c r="C2511" t="str">
        <f>"460025198701250029"</f>
        <v>460025198701250029</v>
      </c>
      <c r="L2511">
        <v>3391</v>
      </c>
      <c r="M2511" t="s">
        <v>3140</v>
      </c>
      <c r="O2511" t="str">
        <f>"460025198701250029"</f>
        <v>460025198701250029</v>
      </c>
    </row>
    <row r="2512" customFormat="1" spans="1:15">
      <c r="A2512">
        <v>3392</v>
      </c>
      <c r="B2512" t="s">
        <v>3141</v>
      </c>
      <c r="C2512" t="str">
        <f>"460028199104080045"</f>
        <v>460028199104080045</v>
      </c>
      <c r="L2512">
        <v>3392</v>
      </c>
      <c r="M2512" t="s">
        <v>3141</v>
      </c>
      <c r="O2512" t="str">
        <f>"460028199104080045"</f>
        <v>460028199104080045</v>
      </c>
    </row>
    <row r="2513" customFormat="1" spans="1:15">
      <c r="A2513">
        <v>3393</v>
      </c>
      <c r="B2513" t="s">
        <v>3142</v>
      </c>
      <c r="C2513" t="str">
        <f>"460033200112120023"</f>
        <v>460033200112120023</v>
      </c>
      <c r="D2513" t="str">
        <f>"248030200221"</f>
        <v>248030200221</v>
      </c>
      <c r="L2513">
        <v>3393</v>
      </c>
      <c r="M2513" t="s">
        <v>3142</v>
      </c>
      <c r="N2513" t="str">
        <f>"248030200221"</f>
        <v>248030200221</v>
      </c>
      <c r="O2513" t="str">
        <f>"460033200112120023"</f>
        <v>460033200112120023</v>
      </c>
    </row>
    <row r="2514" customFormat="1" spans="1:15">
      <c r="A2514">
        <v>3395</v>
      </c>
      <c r="B2514" t="s">
        <v>3143</v>
      </c>
      <c r="C2514" t="str">
        <f>"460033198707173909"</f>
        <v>460033198707173909</v>
      </c>
      <c r="L2514">
        <v>3395</v>
      </c>
      <c r="M2514" t="s">
        <v>3143</v>
      </c>
      <c r="O2514" t="str">
        <f>"460033198707173909"</f>
        <v>460033198707173909</v>
      </c>
    </row>
    <row r="2515" customFormat="1" spans="1:15">
      <c r="A2515">
        <v>3396</v>
      </c>
      <c r="B2515" t="s">
        <v>396</v>
      </c>
      <c r="C2515" t="str">
        <f>"460300199402090022"</f>
        <v>460300199402090022</v>
      </c>
      <c r="D2515" t="str">
        <f>"248030402007"</f>
        <v>248030402007</v>
      </c>
      <c r="L2515">
        <v>3396</v>
      </c>
      <c r="M2515" t="s">
        <v>396</v>
      </c>
      <c r="N2515" t="str">
        <f>"248030402007"</f>
        <v>248030402007</v>
      </c>
      <c r="O2515" t="str">
        <f>"460300199402090022"</f>
        <v>460300199402090022</v>
      </c>
    </row>
    <row r="2516" customFormat="1" spans="1:15">
      <c r="A2516">
        <v>3397</v>
      </c>
      <c r="B2516" t="s">
        <v>3144</v>
      </c>
      <c r="C2516" t="str">
        <f>"460005200109021221"</f>
        <v>460005200109021221</v>
      </c>
      <c r="D2516" t="str">
        <f>"248030203318"</f>
        <v>248030203318</v>
      </c>
      <c r="L2516">
        <v>3397</v>
      </c>
      <c r="M2516" t="s">
        <v>3144</v>
      </c>
      <c r="N2516" t="str">
        <f>"248030203318"</f>
        <v>248030203318</v>
      </c>
      <c r="O2516" t="str">
        <f>"460005200109021221"</f>
        <v>460005200109021221</v>
      </c>
    </row>
    <row r="2517" customFormat="1" spans="1:15">
      <c r="A2517">
        <v>3398</v>
      </c>
      <c r="B2517" t="s">
        <v>3145</v>
      </c>
      <c r="C2517" t="str">
        <f>"460028199904200025"</f>
        <v>460028199904200025</v>
      </c>
      <c r="D2517" t="str">
        <f>"248030103726"</f>
        <v>248030103726</v>
      </c>
      <c r="L2517">
        <v>3398</v>
      </c>
      <c r="M2517" t="s">
        <v>3145</v>
      </c>
      <c r="N2517" t="str">
        <f>"248030103726"</f>
        <v>248030103726</v>
      </c>
      <c r="O2517" t="str">
        <f>"460028199904200025"</f>
        <v>460028199904200025</v>
      </c>
    </row>
    <row r="2518" customFormat="1" spans="1:15">
      <c r="A2518">
        <v>3400</v>
      </c>
      <c r="B2518" t="s">
        <v>3146</v>
      </c>
      <c r="C2518" t="str">
        <f>"460033199406243242"</f>
        <v>460033199406243242</v>
      </c>
      <c r="D2518" t="str">
        <f>"248030100711"</f>
        <v>248030100711</v>
      </c>
      <c r="L2518">
        <v>3400</v>
      </c>
      <c r="M2518" t="s">
        <v>3146</v>
      </c>
      <c r="N2518" t="str">
        <f>"248030100711"</f>
        <v>248030100711</v>
      </c>
      <c r="O2518" t="str">
        <f>"460033199406243242"</f>
        <v>460033199406243242</v>
      </c>
    </row>
    <row r="2519" customFormat="1" spans="1:15">
      <c r="A2519">
        <v>3401</v>
      </c>
      <c r="B2519" t="s">
        <v>3147</v>
      </c>
      <c r="C2519" t="str">
        <f>"460003200003032229"</f>
        <v>460003200003032229</v>
      </c>
      <c r="D2519" t="str">
        <f>"248030103109"</f>
        <v>248030103109</v>
      </c>
      <c r="L2519">
        <v>3401</v>
      </c>
      <c r="M2519" t="s">
        <v>3147</v>
      </c>
      <c r="N2519" t="str">
        <f>"248030103109"</f>
        <v>248030103109</v>
      </c>
      <c r="O2519" t="str">
        <f>"460003200003032229"</f>
        <v>460003200003032229</v>
      </c>
    </row>
    <row r="2520" customFormat="1" spans="1:15">
      <c r="A2520">
        <v>3404</v>
      </c>
      <c r="B2520" t="s">
        <v>3148</v>
      </c>
      <c r="C2520" t="str">
        <f>"460022199705282728"</f>
        <v>460022199705282728</v>
      </c>
      <c r="D2520" t="str">
        <f>"248030503116"</f>
        <v>248030503116</v>
      </c>
      <c r="L2520">
        <v>3404</v>
      </c>
      <c r="M2520" t="s">
        <v>3148</v>
      </c>
      <c r="N2520" t="str">
        <f>"248030503116"</f>
        <v>248030503116</v>
      </c>
      <c r="O2520" t="str">
        <f>"460022199705282728"</f>
        <v>460022199705282728</v>
      </c>
    </row>
    <row r="2521" customFormat="1" spans="1:15">
      <c r="A2521">
        <v>3405</v>
      </c>
      <c r="B2521" t="s">
        <v>3149</v>
      </c>
      <c r="C2521" t="str">
        <f>"51152219940726222X"</f>
        <v>51152219940726222X</v>
      </c>
      <c r="D2521" t="str">
        <f>"248030400922"</f>
        <v>248030400922</v>
      </c>
      <c r="L2521">
        <v>3405</v>
      </c>
      <c r="M2521" t="s">
        <v>3149</v>
      </c>
      <c r="N2521" t="str">
        <f>"248030400922"</f>
        <v>248030400922</v>
      </c>
      <c r="O2521" t="str">
        <f>"51152219940726222X"</f>
        <v>51152219940726222X</v>
      </c>
    </row>
    <row r="2522" customFormat="1" spans="1:15">
      <c r="A2522">
        <v>3406</v>
      </c>
      <c r="B2522" t="s">
        <v>3150</v>
      </c>
      <c r="C2522" t="str">
        <f>"46902620000505482X"</f>
        <v>46902620000505482X</v>
      </c>
      <c r="L2522">
        <v>3406</v>
      </c>
      <c r="M2522" t="s">
        <v>3150</v>
      </c>
      <c r="O2522" t="str">
        <f>"46902620000505482X"</f>
        <v>46902620000505482X</v>
      </c>
    </row>
    <row r="2523" customFormat="1" spans="1:15">
      <c r="A2523">
        <v>3407</v>
      </c>
      <c r="B2523" t="s">
        <v>3151</v>
      </c>
      <c r="C2523" t="str">
        <f>"220802200011270625"</f>
        <v>220802200011270625</v>
      </c>
      <c r="D2523" t="str">
        <f>"248030103629"</f>
        <v>248030103629</v>
      </c>
      <c r="L2523">
        <v>3407</v>
      </c>
      <c r="M2523" t="s">
        <v>3151</v>
      </c>
      <c r="N2523" t="str">
        <f>"248030103629"</f>
        <v>248030103629</v>
      </c>
      <c r="O2523" t="str">
        <f>"220802200011270625"</f>
        <v>220802200011270625</v>
      </c>
    </row>
    <row r="2524" customFormat="1" spans="1:15">
      <c r="A2524">
        <v>3410</v>
      </c>
      <c r="B2524" t="s">
        <v>3152</v>
      </c>
      <c r="C2524" t="str">
        <f>"460005199608225119"</f>
        <v>460005199608225119</v>
      </c>
      <c r="D2524" t="str">
        <f>"248030402704"</f>
        <v>248030402704</v>
      </c>
      <c r="L2524">
        <v>3410</v>
      </c>
      <c r="M2524" t="s">
        <v>3152</v>
      </c>
      <c r="N2524" t="str">
        <f>"248030402704"</f>
        <v>248030402704</v>
      </c>
      <c r="O2524" t="str">
        <f>"460005199608225119"</f>
        <v>460005199608225119</v>
      </c>
    </row>
    <row r="2525" customFormat="1" spans="1:15">
      <c r="A2525">
        <v>3411</v>
      </c>
      <c r="B2525" t="s">
        <v>3153</v>
      </c>
      <c r="C2525" t="str">
        <f>"230603199701104044"</f>
        <v>230603199701104044</v>
      </c>
      <c r="D2525" t="str">
        <f>"248030503624"</f>
        <v>248030503624</v>
      </c>
      <c r="L2525">
        <v>3411</v>
      </c>
      <c r="M2525" t="s">
        <v>3153</v>
      </c>
      <c r="N2525" t="str">
        <f>"248030503624"</f>
        <v>248030503624</v>
      </c>
      <c r="O2525" t="str">
        <f>"230603199701104044"</f>
        <v>230603199701104044</v>
      </c>
    </row>
    <row r="2526" customFormat="1" spans="1:15">
      <c r="A2526">
        <v>3412</v>
      </c>
      <c r="B2526" t="s">
        <v>3154</v>
      </c>
      <c r="C2526" t="str">
        <f>"522729200010124519"</f>
        <v>522729200010124519</v>
      </c>
      <c r="D2526" t="str">
        <f>"248030403901"</f>
        <v>248030403901</v>
      </c>
      <c r="L2526">
        <v>3412</v>
      </c>
      <c r="M2526" t="s">
        <v>3154</v>
      </c>
      <c r="N2526" t="str">
        <f>"248030403901"</f>
        <v>248030403901</v>
      </c>
      <c r="O2526" t="str">
        <f>"522729200010124519"</f>
        <v>522729200010124519</v>
      </c>
    </row>
    <row r="2527" customFormat="1" spans="1:15">
      <c r="A2527">
        <v>3414</v>
      </c>
      <c r="B2527" t="s">
        <v>3155</v>
      </c>
      <c r="C2527" t="str">
        <f>"469024199409132419"</f>
        <v>469024199409132419</v>
      </c>
      <c r="D2527" t="str">
        <f>"248030200729"</f>
        <v>248030200729</v>
      </c>
      <c r="L2527">
        <v>3414</v>
      </c>
      <c r="M2527" t="s">
        <v>3155</v>
      </c>
      <c r="N2527" t="str">
        <f>"248030200729"</f>
        <v>248030200729</v>
      </c>
      <c r="O2527" t="str">
        <f>"469024199409132419"</f>
        <v>469024199409132419</v>
      </c>
    </row>
    <row r="2528" customFormat="1" spans="1:15">
      <c r="A2528">
        <v>3415</v>
      </c>
      <c r="B2528" t="s">
        <v>3156</v>
      </c>
      <c r="C2528" t="str">
        <f>"460028199510245247"</f>
        <v>460028199510245247</v>
      </c>
      <c r="D2528" t="str">
        <f>"248030400926"</f>
        <v>248030400926</v>
      </c>
      <c r="L2528">
        <v>3415</v>
      </c>
      <c r="M2528" t="s">
        <v>3156</v>
      </c>
      <c r="N2528" t="str">
        <f>"248030400926"</f>
        <v>248030400926</v>
      </c>
      <c r="O2528" t="str">
        <f>"460028199510245247"</f>
        <v>460028199510245247</v>
      </c>
    </row>
    <row r="2529" customFormat="1" spans="1:15">
      <c r="A2529">
        <v>3416</v>
      </c>
      <c r="B2529" t="s">
        <v>3157</v>
      </c>
      <c r="C2529" t="str">
        <f>"469023200105101321"</f>
        <v>469023200105101321</v>
      </c>
      <c r="D2529" t="str">
        <f>"248030102313"</f>
        <v>248030102313</v>
      </c>
      <c r="L2529">
        <v>3416</v>
      </c>
      <c r="M2529" t="s">
        <v>3157</v>
      </c>
      <c r="N2529" t="str">
        <f>"248030102313"</f>
        <v>248030102313</v>
      </c>
      <c r="O2529" t="str">
        <f>"469023200105101321"</f>
        <v>469023200105101321</v>
      </c>
    </row>
    <row r="2530" customFormat="1" spans="1:15">
      <c r="A2530">
        <v>3418</v>
      </c>
      <c r="B2530" t="s">
        <v>3158</v>
      </c>
      <c r="C2530" t="str">
        <f>"469023200003039010"</f>
        <v>469023200003039010</v>
      </c>
      <c r="D2530" t="str">
        <f>"248030201627"</f>
        <v>248030201627</v>
      </c>
      <c r="L2530">
        <v>3418</v>
      </c>
      <c r="M2530" t="s">
        <v>3158</v>
      </c>
      <c r="N2530" t="str">
        <f>"248030201627"</f>
        <v>248030201627</v>
      </c>
      <c r="O2530" t="str">
        <f>"469023200003039010"</f>
        <v>469023200003039010</v>
      </c>
    </row>
    <row r="2531" customFormat="1" spans="1:15">
      <c r="A2531">
        <v>3419</v>
      </c>
      <c r="B2531" t="s">
        <v>3159</v>
      </c>
      <c r="C2531" t="str">
        <f>"230281200103034341"</f>
        <v>230281200103034341</v>
      </c>
      <c r="L2531">
        <v>3419</v>
      </c>
      <c r="M2531" t="s">
        <v>3159</v>
      </c>
      <c r="O2531" t="str">
        <f>"230281200103034341"</f>
        <v>230281200103034341</v>
      </c>
    </row>
    <row r="2532" customFormat="1" spans="1:15">
      <c r="A2532">
        <v>3420</v>
      </c>
      <c r="B2532" t="s">
        <v>3160</v>
      </c>
      <c r="C2532" t="str">
        <f>"370785198806177123"</f>
        <v>370785198806177123</v>
      </c>
      <c r="L2532">
        <v>3420</v>
      </c>
      <c r="M2532" t="s">
        <v>3160</v>
      </c>
      <c r="O2532" t="str">
        <f>"370785198806177123"</f>
        <v>370785198806177123</v>
      </c>
    </row>
    <row r="2533" customFormat="1" spans="1:15">
      <c r="A2533">
        <v>3421</v>
      </c>
      <c r="B2533" t="s">
        <v>3161</v>
      </c>
      <c r="C2533" t="str">
        <f>"46002519970124482X"</f>
        <v>46002519970124482X</v>
      </c>
      <c r="D2533" t="str">
        <f>"248030100503"</f>
        <v>248030100503</v>
      </c>
      <c r="L2533">
        <v>3421</v>
      </c>
      <c r="M2533" t="s">
        <v>3161</v>
      </c>
      <c r="N2533" t="str">
        <f>"248030100503"</f>
        <v>248030100503</v>
      </c>
      <c r="O2533" t="str">
        <f>"46002519970124482X"</f>
        <v>46002519970124482X</v>
      </c>
    </row>
    <row r="2534" customFormat="1" spans="1:15">
      <c r="A2534">
        <v>3422</v>
      </c>
      <c r="B2534" t="s">
        <v>3162</v>
      </c>
      <c r="C2534" t="str">
        <f>"460007199901207246"</f>
        <v>460007199901207246</v>
      </c>
      <c r="D2534" t="str">
        <f>"248030200313"</f>
        <v>248030200313</v>
      </c>
      <c r="L2534">
        <v>3422</v>
      </c>
      <c r="M2534" t="s">
        <v>3162</v>
      </c>
      <c r="N2534" t="str">
        <f>"248030200313"</f>
        <v>248030200313</v>
      </c>
      <c r="O2534" t="str">
        <f>"460007199901207246"</f>
        <v>460007199901207246</v>
      </c>
    </row>
    <row r="2535" customFormat="1" spans="1:15">
      <c r="A2535">
        <v>3423</v>
      </c>
      <c r="B2535" t="s">
        <v>3163</v>
      </c>
      <c r="C2535" t="str">
        <f>"460036199705202722"</f>
        <v>460036199705202722</v>
      </c>
      <c r="D2535" t="str">
        <f>"248030300106"</f>
        <v>248030300106</v>
      </c>
      <c r="L2535">
        <v>3423</v>
      </c>
      <c r="M2535" t="s">
        <v>3163</v>
      </c>
      <c r="N2535" t="str">
        <f>"248030300106"</f>
        <v>248030300106</v>
      </c>
      <c r="O2535" t="str">
        <f>"460036199705202722"</f>
        <v>460036199705202722</v>
      </c>
    </row>
    <row r="2536" customFormat="1" spans="1:15">
      <c r="A2536">
        <v>3424</v>
      </c>
      <c r="B2536" t="s">
        <v>3164</v>
      </c>
      <c r="C2536" t="str">
        <f>"150302199707043569"</f>
        <v>150302199707043569</v>
      </c>
      <c r="L2536">
        <v>3424</v>
      </c>
      <c r="M2536" t="s">
        <v>3164</v>
      </c>
      <c r="O2536" t="str">
        <f>"150302199707043569"</f>
        <v>150302199707043569</v>
      </c>
    </row>
    <row r="2537" customFormat="1" spans="1:15">
      <c r="A2537">
        <v>3425</v>
      </c>
      <c r="B2537" t="s">
        <v>3165</v>
      </c>
      <c r="C2537" t="str">
        <f>"460007199011040421"</f>
        <v>460007199011040421</v>
      </c>
      <c r="D2537" t="str">
        <f>"248030403313"</f>
        <v>248030403313</v>
      </c>
      <c r="L2537">
        <v>3425</v>
      </c>
      <c r="M2537" t="s">
        <v>3165</v>
      </c>
      <c r="N2537" t="str">
        <f>"248030403313"</f>
        <v>248030403313</v>
      </c>
      <c r="O2537" t="str">
        <f>"460007199011040421"</f>
        <v>460007199011040421</v>
      </c>
    </row>
    <row r="2538" customFormat="1" spans="1:15">
      <c r="A2538">
        <v>3426</v>
      </c>
      <c r="B2538" t="s">
        <v>3166</v>
      </c>
      <c r="C2538" t="str">
        <f>"460022200208283928"</f>
        <v>460022200208283928</v>
      </c>
      <c r="D2538" t="str">
        <f>"248030503710"</f>
        <v>248030503710</v>
      </c>
      <c r="L2538">
        <v>3426</v>
      </c>
      <c r="M2538" t="s">
        <v>3166</v>
      </c>
      <c r="N2538" t="str">
        <f>"248030503710"</f>
        <v>248030503710</v>
      </c>
      <c r="O2538" t="str">
        <f>"460022200208283928"</f>
        <v>460022200208283928</v>
      </c>
    </row>
    <row r="2539" customFormat="1" spans="1:15">
      <c r="A2539">
        <v>3428</v>
      </c>
      <c r="B2539" t="s">
        <v>3167</v>
      </c>
      <c r="C2539" t="str">
        <f>"460033199802203242"</f>
        <v>460033199802203242</v>
      </c>
      <c r="D2539" t="str">
        <f>"248030200607"</f>
        <v>248030200607</v>
      </c>
      <c r="L2539">
        <v>3428</v>
      </c>
      <c r="M2539" t="s">
        <v>3167</v>
      </c>
      <c r="N2539" t="str">
        <f>"248030200607"</f>
        <v>248030200607</v>
      </c>
      <c r="O2539" t="str">
        <f>"460033199802203242"</f>
        <v>460033199802203242</v>
      </c>
    </row>
    <row r="2540" customFormat="1" spans="1:15">
      <c r="A2540">
        <v>3429</v>
      </c>
      <c r="B2540" t="s">
        <v>3168</v>
      </c>
      <c r="C2540" t="str">
        <f>"460005199303165821"</f>
        <v>460005199303165821</v>
      </c>
      <c r="D2540" t="str">
        <f>"248030104509"</f>
        <v>248030104509</v>
      </c>
      <c r="L2540">
        <v>3429</v>
      </c>
      <c r="M2540" t="s">
        <v>3168</v>
      </c>
      <c r="N2540" t="str">
        <f>"248030104509"</f>
        <v>248030104509</v>
      </c>
      <c r="O2540" t="str">
        <f>"460005199303165821"</f>
        <v>460005199303165821</v>
      </c>
    </row>
    <row r="2541" customFormat="1" spans="1:15">
      <c r="A2541">
        <v>3430</v>
      </c>
      <c r="B2541" t="s">
        <v>3169</v>
      </c>
      <c r="C2541" t="str">
        <f>"410926199302280504"</f>
        <v>410926199302280504</v>
      </c>
      <c r="L2541">
        <v>3430</v>
      </c>
      <c r="M2541" t="s">
        <v>3169</v>
      </c>
      <c r="O2541" t="str">
        <f>"410926199302280504"</f>
        <v>410926199302280504</v>
      </c>
    </row>
    <row r="2542" customFormat="1" spans="1:15">
      <c r="A2542">
        <v>3432</v>
      </c>
      <c r="B2542" t="s">
        <v>3170</v>
      </c>
      <c r="C2542" t="str">
        <f>"460003199406033108"</f>
        <v>460003199406033108</v>
      </c>
      <c r="D2542" t="str">
        <f>"248030102724"</f>
        <v>248030102724</v>
      </c>
      <c r="L2542">
        <v>3432</v>
      </c>
      <c r="M2542" t="s">
        <v>3170</v>
      </c>
      <c r="N2542" t="str">
        <f>"248030102724"</f>
        <v>248030102724</v>
      </c>
      <c r="O2542" t="str">
        <f>"460003199406033108"</f>
        <v>460003199406033108</v>
      </c>
    </row>
    <row r="2543" customFormat="1" spans="1:15">
      <c r="A2543">
        <v>3433</v>
      </c>
      <c r="B2543" t="s">
        <v>3171</v>
      </c>
      <c r="C2543" t="str">
        <f>"460031199805016415"</f>
        <v>460031199805016415</v>
      </c>
      <c r="D2543" t="str">
        <f>"248030201511"</f>
        <v>248030201511</v>
      </c>
      <c r="L2543">
        <v>3433</v>
      </c>
      <c r="M2543" t="s">
        <v>3171</v>
      </c>
      <c r="N2543" t="str">
        <f>"248030201511"</f>
        <v>248030201511</v>
      </c>
      <c r="O2543" t="str">
        <f>"460031199805016415"</f>
        <v>460031199805016415</v>
      </c>
    </row>
    <row r="2544" customFormat="1" spans="1:15">
      <c r="A2544">
        <v>3434</v>
      </c>
      <c r="B2544" t="s">
        <v>3172</v>
      </c>
      <c r="C2544" t="str">
        <f>"460030200210110022"</f>
        <v>460030200210110022</v>
      </c>
      <c r="D2544" t="str">
        <f>"248030200910"</f>
        <v>248030200910</v>
      </c>
      <c r="L2544">
        <v>3434</v>
      </c>
      <c r="M2544" t="s">
        <v>3172</v>
      </c>
      <c r="N2544" t="str">
        <f>"248030200910"</f>
        <v>248030200910</v>
      </c>
      <c r="O2544" t="str">
        <f>"460030200210110022"</f>
        <v>460030200210110022</v>
      </c>
    </row>
    <row r="2545" customFormat="1" spans="1:15">
      <c r="A2545">
        <v>3435</v>
      </c>
      <c r="B2545" t="s">
        <v>3173</v>
      </c>
      <c r="C2545" t="str">
        <f>"142202200209293661"</f>
        <v>142202200209293661</v>
      </c>
      <c r="D2545" t="str">
        <f>"248030501004"</f>
        <v>248030501004</v>
      </c>
      <c r="L2545">
        <v>3435</v>
      </c>
      <c r="M2545" t="s">
        <v>3173</v>
      </c>
      <c r="N2545" t="str">
        <f>"248030501004"</f>
        <v>248030501004</v>
      </c>
      <c r="O2545" t="str">
        <f>"142202200209293661"</f>
        <v>142202200209293661</v>
      </c>
    </row>
    <row r="2546" customFormat="1" spans="1:15">
      <c r="A2546">
        <v>3436</v>
      </c>
      <c r="B2546" t="s">
        <v>2841</v>
      </c>
      <c r="C2546" t="str">
        <f>"422802199606213009"</f>
        <v>422802199606213009</v>
      </c>
      <c r="D2546" t="str">
        <f>"248030403925"</f>
        <v>248030403925</v>
      </c>
      <c r="L2546">
        <v>3436</v>
      </c>
      <c r="M2546" t="s">
        <v>2841</v>
      </c>
      <c r="N2546" t="str">
        <f>"248030403925"</f>
        <v>248030403925</v>
      </c>
      <c r="O2546" t="str">
        <f>"422802199606213009"</f>
        <v>422802199606213009</v>
      </c>
    </row>
    <row r="2547" customFormat="1" spans="1:15">
      <c r="A2547">
        <v>3437</v>
      </c>
      <c r="B2547" t="s">
        <v>3174</v>
      </c>
      <c r="C2547" t="str">
        <f>"460022199403143247"</f>
        <v>460022199403143247</v>
      </c>
      <c r="L2547">
        <v>3437</v>
      </c>
      <c r="M2547" t="s">
        <v>3174</v>
      </c>
      <c r="O2547" t="str">
        <f>"460022199403143247"</f>
        <v>460022199403143247</v>
      </c>
    </row>
    <row r="2548" customFormat="1" spans="1:15">
      <c r="A2548">
        <v>3438</v>
      </c>
      <c r="B2548" t="s">
        <v>203</v>
      </c>
      <c r="C2548" t="str">
        <f>"460006199404260023"</f>
        <v>460006199404260023</v>
      </c>
      <c r="D2548" t="str">
        <f>"248030101321"</f>
        <v>248030101321</v>
      </c>
      <c r="L2548">
        <v>3438</v>
      </c>
      <c r="M2548" t="s">
        <v>203</v>
      </c>
      <c r="N2548" t="str">
        <f>"248030101321"</f>
        <v>248030101321</v>
      </c>
      <c r="O2548" t="str">
        <f>"460006199404260023"</f>
        <v>460006199404260023</v>
      </c>
    </row>
    <row r="2549" customFormat="1" spans="1:15">
      <c r="A2549">
        <v>3439</v>
      </c>
      <c r="B2549" t="s">
        <v>3175</v>
      </c>
      <c r="C2549" t="str">
        <f>"460036200205315929"</f>
        <v>460036200205315929</v>
      </c>
      <c r="D2549" t="str">
        <f>"248030102501"</f>
        <v>248030102501</v>
      </c>
      <c r="L2549">
        <v>3439</v>
      </c>
      <c r="M2549" t="s">
        <v>3175</v>
      </c>
      <c r="N2549" t="str">
        <f>"248030102501"</f>
        <v>248030102501</v>
      </c>
      <c r="O2549" t="str">
        <f>"460036200205315929"</f>
        <v>460036200205315929</v>
      </c>
    </row>
    <row r="2550" customFormat="1" spans="1:15">
      <c r="A2550">
        <v>3440</v>
      </c>
      <c r="B2550" t="s">
        <v>3176</v>
      </c>
      <c r="C2550" t="str">
        <f>"460027199408171329"</f>
        <v>460027199408171329</v>
      </c>
      <c r="D2550" t="str">
        <f>"248030300722"</f>
        <v>248030300722</v>
      </c>
      <c r="L2550">
        <v>3440</v>
      </c>
      <c r="M2550" t="s">
        <v>3176</v>
      </c>
      <c r="N2550" t="str">
        <f>"248030300722"</f>
        <v>248030300722</v>
      </c>
      <c r="O2550" t="str">
        <f>"460027199408171329"</f>
        <v>460027199408171329</v>
      </c>
    </row>
    <row r="2551" customFormat="1" spans="1:15">
      <c r="A2551">
        <v>3441</v>
      </c>
      <c r="B2551" t="s">
        <v>3177</v>
      </c>
      <c r="C2551" t="str">
        <f>"460028199706202417"</f>
        <v>460028199706202417</v>
      </c>
      <c r="L2551">
        <v>3441</v>
      </c>
      <c r="M2551" t="s">
        <v>3177</v>
      </c>
      <c r="O2551" t="str">
        <f>"460028199706202417"</f>
        <v>460028199706202417</v>
      </c>
    </row>
    <row r="2552" customFormat="1" spans="1:15">
      <c r="A2552">
        <v>3442</v>
      </c>
      <c r="B2552" t="s">
        <v>3178</v>
      </c>
      <c r="C2552" t="str">
        <f>"460107200111242320"</f>
        <v>460107200111242320</v>
      </c>
      <c r="D2552" t="str">
        <f>"248030401504"</f>
        <v>248030401504</v>
      </c>
      <c r="L2552">
        <v>3442</v>
      </c>
      <c r="M2552" t="s">
        <v>3178</v>
      </c>
      <c r="N2552" t="str">
        <f>"248030401504"</f>
        <v>248030401504</v>
      </c>
      <c r="O2552" t="str">
        <f>"460107200111242320"</f>
        <v>460107200111242320</v>
      </c>
    </row>
    <row r="2553" customFormat="1" spans="1:15">
      <c r="A2553">
        <v>3443</v>
      </c>
      <c r="B2553" t="s">
        <v>3179</v>
      </c>
      <c r="C2553" t="str">
        <f>"460031199901100027"</f>
        <v>460031199901100027</v>
      </c>
      <c r="D2553" t="str">
        <f>"248030401522"</f>
        <v>248030401522</v>
      </c>
      <c r="L2553">
        <v>3443</v>
      </c>
      <c r="M2553" t="s">
        <v>3179</v>
      </c>
      <c r="N2553" t="str">
        <f>"248030401522"</f>
        <v>248030401522</v>
      </c>
      <c r="O2553" t="str">
        <f>"460031199901100027"</f>
        <v>460031199901100027</v>
      </c>
    </row>
    <row r="2554" customFormat="1" spans="1:15">
      <c r="A2554">
        <v>3445</v>
      </c>
      <c r="B2554" t="s">
        <v>3180</v>
      </c>
      <c r="C2554" t="str">
        <f>"460003199007154228"</f>
        <v>460003199007154228</v>
      </c>
      <c r="D2554" t="str">
        <f>"248030203622"</f>
        <v>248030203622</v>
      </c>
      <c r="L2554">
        <v>3445</v>
      </c>
      <c r="M2554" t="s">
        <v>3180</v>
      </c>
      <c r="N2554" t="str">
        <f>"248030203622"</f>
        <v>248030203622</v>
      </c>
      <c r="O2554" t="str">
        <f>"460003199007154228"</f>
        <v>460003199007154228</v>
      </c>
    </row>
    <row r="2555" customFormat="1" spans="1:15">
      <c r="A2555">
        <v>3446</v>
      </c>
      <c r="B2555" t="s">
        <v>3181</v>
      </c>
      <c r="C2555" t="str">
        <f>"460033199803153347"</f>
        <v>460033199803153347</v>
      </c>
      <c r="L2555">
        <v>3446</v>
      </c>
      <c r="M2555" t="s">
        <v>3181</v>
      </c>
      <c r="O2555" t="str">
        <f>"460033199803153347"</f>
        <v>460033199803153347</v>
      </c>
    </row>
    <row r="2556" customFormat="1" spans="1:15">
      <c r="A2556">
        <v>3448</v>
      </c>
      <c r="B2556" t="s">
        <v>3182</v>
      </c>
      <c r="C2556" t="str">
        <f>"469024200101250828"</f>
        <v>469024200101250828</v>
      </c>
      <c r="D2556" t="str">
        <f>"248030100126"</f>
        <v>248030100126</v>
      </c>
      <c r="L2556">
        <v>3448</v>
      </c>
      <c r="M2556" t="s">
        <v>3182</v>
      </c>
      <c r="N2556" t="str">
        <f>"248030100126"</f>
        <v>248030100126</v>
      </c>
      <c r="O2556" t="str">
        <f>"469024200101250828"</f>
        <v>469024200101250828</v>
      </c>
    </row>
    <row r="2557" customFormat="1" spans="1:15">
      <c r="A2557">
        <v>3449</v>
      </c>
      <c r="B2557" t="s">
        <v>3183</v>
      </c>
      <c r="C2557" t="str">
        <f>"460033199507253263"</f>
        <v>460033199507253263</v>
      </c>
      <c r="D2557" t="str">
        <f>"248030403421"</f>
        <v>248030403421</v>
      </c>
      <c r="L2557">
        <v>3449</v>
      </c>
      <c r="M2557" t="s">
        <v>3183</v>
      </c>
      <c r="N2557" t="str">
        <f>"248030403421"</f>
        <v>248030403421</v>
      </c>
      <c r="O2557" t="str">
        <f>"460033199507253263"</f>
        <v>460033199507253263</v>
      </c>
    </row>
    <row r="2558" customFormat="1" spans="1:15">
      <c r="A2558">
        <v>3451</v>
      </c>
      <c r="B2558" t="s">
        <v>3184</v>
      </c>
      <c r="C2558" t="str">
        <f>"460102199803092143"</f>
        <v>460102199803092143</v>
      </c>
      <c r="D2558" t="str">
        <f>"248030102407"</f>
        <v>248030102407</v>
      </c>
      <c r="L2558">
        <v>3451</v>
      </c>
      <c r="M2558" t="s">
        <v>3184</v>
      </c>
      <c r="N2558" t="str">
        <f>"248030102407"</f>
        <v>248030102407</v>
      </c>
      <c r="O2558" t="str">
        <f>"460102199803092143"</f>
        <v>460102199803092143</v>
      </c>
    </row>
    <row r="2559" customFormat="1" spans="1:15">
      <c r="A2559">
        <v>3452</v>
      </c>
      <c r="B2559" t="s">
        <v>3185</v>
      </c>
      <c r="C2559" t="str">
        <f>"460005200203065124"</f>
        <v>460005200203065124</v>
      </c>
      <c r="D2559" t="str">
        <f>"248030401311"</f>
        <v>248030401311</v>
      </c>
      <c r="L2559">
        <v>3452</v>
      </c>
      <c r="M2559" t="s">
        <v>3185</v>
      </c>
      <c r="N2559" t="str">
        <f>"248030401311"</f>
        <v>248030401311</v>
      </c>
      <c r="O2559" t="str">
        <f>"460005200203065124"</f>
        <v>460005200203065124</v>
      </c>
    </row>
    <row r="2560" customFormat="1" spans="1:15">
      <c r="A2560">
        <v>3454</v>
      </c>
      <c r="B2560" t="s">
        <v>3186</v>
      </c>
      <c r="C2560" t="str">
        <f>"450521199209030045"</f>
        <v>450521199209030045</v>
      </c>
      <c r="D2560" t="str">
        <f>"248030300725"</f>
        <v>248030300725</v>
      </c>
      <c r="L2560">
        <v>3454</v>
      </c>
      <c r="M2560" t="s">
        <v>3186</v>
      </c>
      <c r="N2560" t="str">
        <f>"248030300725"</f>
        <v>248030300725</v>
      </c>
      <c r="O2560" t="str">
        <f>"450521199209030045"</f>
        <v>450521199209030045</v>
      </c>
    </row>
    <row r="2561" customFormat="1" spans="1:15">
      <c r="A2561">
        <v>3455</v>
      </c>
      <c r="B2561" t="s">
        <v>641</v>
      </c>
      <c r="C2561" t="str">
        <f>"460004200201240017"</f>
        <v>460004200201240017</v>
      </c>
      <c r="D2561" t="str">
        <f>"248030300519"</f>
        <v>248030300519</v>
      </c>
      <c r="L2561">
        <v>3455</v>
      </c>
      <c r="M2561" t="s">
        <v>641</v>
      </c>
      <c r="N2561" t="str">
        <f>"248030300519"</f>
        <v>248030300519</v>
      </c>
      <c r="O2561" t="str">
        <f>"460004200201240017"</f>
        <v>460004200201240017</v>
      </c>
    </row>
    <row r="2562" customFormat="1" spans="1:15">
      <c r="A2562">
        <v>3456</v>
      </c>
      <c r="B2562" t="s">
        <v>3187</v>
      </c>
      <c r="C2562" t="str">
        <f>"460005199603073726"</f>
        <v>460005199603073726</v>
      </c>
      <c r="D2562" t="str">
        <f>"248030300222"</f>
        <v>248030300222</v>
      </c>
      <c r="L2562">
        <v>3456</v>
      </c>
      <c r="M2562" t="s">
        <v>3187</v>
      </c>
      <c r="N2562" t="str">
        <f>"248030300222"</f>
        <v>248030300222</v>
      </c>
      <c r="O2562" t="str">
        <f>"460005199603073726"</f>
        <v>460005199603073726</v>
      </c>
    </row>
    <row r="2563" customFormat="1" spans="1:15">
      <c r="A2563">
        <v>3457</v>
      </c>
      <c r="B2563" t="s">
        <v>3188</v>
      </c>
      <c r="C2563" t="str">
        <f>"460003199708155629"</f>
        <v>460003199708155629</v>
      </c>
      <c r="D2563" t="str">
        <f>"248030103930"</f>
        <v>248030103930</v>
      </c>
      <c r="L2563">
        <v>3457</v>
      </c>
      <c r="M2563" t="s">
        <v>3188</v>
      </c>
      <c r="N2563" t="str">
        <f>"248030103930"</f>
        <v>248030103930</v>
      </c>
      <c r="O2563" t="str">
        <f>"460003199708155629"</f>
        <v>460003199708155629</v>
      </c>
    </row>
    <row r="2564" customFormat="1" spans="1:15">
      <c r="A2564">
        <v>3458</v>
      </c>
      <c r="B2564" t="s">
        <v>3189</v>
      </c>
      <c r="C2564" t="str">
        <f>"460028199904087229"</f>
        <v>460028199904087229</v>
      </c>
      <c r="D2564" t="str">
        <f>"248030203213"</f>
        <v>248030203213</v>
      </c>
      <c r="L2564">
        <v>3458</v>
      </c>
      <c r="M2564" t="s">
        <v>3189</v>
      </c>
      <c r="N2564" t="str">
        <f>"248030203213"</f>
        <v>248030203213</v>
      </c>
      <c r="O2564" t="str">
        <f>"460028199904087229"</f>
        <v>460028199904087229</v>
      </c>
    </row>
    <row r="2565" customFormat="1" spans="1:15">
      <c r="A2565">
        <v>3460</v>
      </c>
      <c r="B2565" t="s">
        <v>3190</v>
      </c>
      <c r="C2565" t="str">
        <f>"622102199903203826"</f>
        <v>622102199903203826</v>
      </c>
      <c r="L2565">
        <v>3460</v>
      </c>
      <c r="M2565" t="s">
        <v>3190</v>
      </c>
      <c r="O2565" t="str">
        <f>"622102199903203826"</f>
        <v>622102199903203826</v>
      </c>
    </row>
    <row r="2566" customFormat="1" spans="1:15">
      <c r="A2566">
        <v>3461</v>
      </c>
      <c r="B2566" t="s">
        <v>3191</v>
      </c>
      <c r="C2566" t="str">
        <f>"460104199708310328"</f>
        <v>460104199708310328</v>
      </c>
      <c r="D2566" t="str">
        <f>"248030104914"</f>
        <v>248030104914</v>
      </c>
      <c r="L2566">
        <v>3461</v>
      </c>
      <c r="M2566" t="s">
        <v>3191</v>
      </c>
      <c r="N2566" t="str">
        <f>"248030104914"</f>
        <v>248030104914</v>
      </c>
      <c r="O2566" t="str">
        <f>"460104199708310328"</f>
        <v>460104199708310328</v>
      </c>
    </row>
    <row r="2567" customFormat="1" spans="1:15">
      <c r="A2567">
        <v>3462</v>
      </c>
      <c r="B2567" t="s">
        <v>3192</v>
      </c>
      <c r="C2567" t="str">
        <f>"411522200109150010"</f>
        <v>411522200109150010</v>
      </c>
      <c r="D2567" t="str">
        <f>"248030100401"</f>
        <v>248030100401</v>
      </c>
      <c r="L2567">
        <v>3462</v>
      </c>
      <c r="M2567" t="s">
        <v>3192</v>
      </c>
      <c r="N2567" t="str">
        <f>"248030100401"</f>
        <v>248030100401</v>
      </c>
      <c r="O2567" t="str">
        <f>"411522200109150010"</f>
        <v>411522200109150010</v>
      </c>
    </row>
    <row r="2568" customFormat="1" spans="1:15">
      <c r="A2568">
        <v>3464</v>
      </c>
      <c r="B2568" t="s">
        <v>3193</v>
      </c>
      <c r="C2568" t="str">
        <f>"460003199710084284"</f>
        <v>460003199710084284</v>
      </c>
      <c r="D2568" t="str">
        <f>"248030503713"</f>
        <v>248030503713</v>
      </c>
      <c r="L2568">
        <v>3464</v>
      </c>
      <c r="M2568" t="s">
        <v>3193</v>
      </c>
      <c r="N2568" t="str">
        <f>"248030503713"</f>
        <v>248030503713</v>
      </c>
      <c r="O2568" t="str">
        <f>"460003199710084284"</f>
        <v>460003199710084284</v>
      </c>
    </row>
    <row r="2569" customFormat="1" spans="1:15">
      <c r="A2569">
        <v>3465</v>
      </c>
      <c r="B2569" t="s">
        <v>3194</v>
      </c>
      <c r="C2569" t="str">
        <f>"469024200110267226"</f>
        <v>469024200110267226</v>
      </c>
      <c r="L2569">
        <v>3465</v>
      </c>
      <c r="M2569" t="s">
        <v>3194</v>
      </c>
      <c r="O2569" t="str">
        <f>"469024200110267226"</f>
        <v>469024200110267226</v>
      </c>
    </row>
    <row r="2570" customFormat="1" spans="1:15">
      <c r="A2570">
        <v>3467</v>
      </c>
      <c r="B2570" t="s">
        <v>3195</v>
      </c>
      <c r="C2570" t="str">
        <f>"460004199605132623"</f>
        <v>460004199605132623</v>
      </c>
      <c r="D2570" t="str">
        <f>"248030401507"</f>
        <v>248030401507</v>
      </c>
      <c r="L2570">
        <v>3467</v>
      </c>
      <c r="M2570" t="s">
        <v>3195</v>
      </c>
      <c r="N2570" t="str">
        <f>"248030401507"</f>
        <v>248030401507</v>
      </c>
      <c r="O2570" t="str">
        <f>"460004199605132623"</f>
        <v>460004199605132623</v>
      </c>
    </row>
    <row r="2571" customFormat="1" spans="1:15">
      <c r="A2571">
        <v>3468</v>
      </c>
      <c r="B2571" t="s">
        <v>3196</v>
      </c>
      <c r="C2571" t="str">
        <f>"460007199706112049"</f>
        <v>460007199706112049</v>
      </c>
      <c r="D2571" t="str">
        <f>"248030501712"</f>
        <v>248030501712</v>
      </c>
      <c r="L2571">
        <v>3468</v>
      </c>
      <c r="M2571" t="s">
        <v>3196</v>
      </c>
      <c r="N2571" t="str">
        <f>"248030501712"</f>
        <v>248030501712</v>
      </c>
      <c r="O2571" t="str">
        <f>"460007199706112049"</f>
        <v>460007199706112049</v>
      </c>
    </row>
    <row r="2572" customFormat="1" spans="1:15">
      <c r="A2572">
        <v>3469</v>
      </c>
      <c r="B2572" t="s">
        <v>3197</v>
      </c>
      <c r="C2572" t="str">
        <f>"460033198906254509"</f>
        <v>460033198906254509</v>
      </c>
      <c r="L2572">
        <v>3469</v>
      </c>
      <c r="M2572" t="s">
        <v>3197</v>
      </c>
      <c r="O2572" t="str">
        <f>"460033198906254509"</f>
        <v>460033198906254509</v>
      </c>
    </row>
    <row r="2573" customFormat="1" spans="1:15">
      <c r="A2573">
        <v>3470</v>
      </c>
      <c r="B2573" t="s">
        <v>3198</v>
      </c>
      <c r="C2573" t="str">
        <f>"460027200009181728"</f>
        <v>460027200009181728</v>
      </c>
      <c r="D2573" t="str">
        <f>"248030501827"</f>
        <v>248030501827</v>
      </c>
      <c r="L2573">
        <v>3470</v>
      </c>
      <c r="M2573" t="s">
        <v>3198</v>
      </c>
      <c r="N2573" t="str">
        <f>"248030501827"</f>
        <v>248030501827</v>
      </c>
      <c r="O2573" t="str">
        <f>"460027200009181728"</f>
        <v>460027200009181728</v>
      </c>
    </row>
    <row r="2574" customFormat="1" spans="1:15">
      <c r="A2574">
        <v>3471</v>
      </c>
      <c r="B2574" t="s">
        <v>3199</v>
      </c>
      <c r="C2574" t="str">
        <f>"46002819970119522X"</f>
        <v>46002819970119522X</v>
      </c>
      <c r="D2574" t="str">
        <f>"248030503801"</f>
        <v>248030503801</v>
      </c>
      <c r="L2574">
        <v>3471</v>
      </c>
      <c r="M2574" t="s">
        <v>3199</v>
      </c>
      <c r="N2574" t="str">
        <f>"248030503801"</f>
        <v>248030503801</v>
      </c>
      <c r="O2574" t="str">
        <f>"46002819970119522X"</f>
        <v>46002819970119522X</v>
      </c>
    </row>
    <row r="2575" customFormat="1" spans="1:15">
      <c r="A2575">
        <v>3472</v>
      </c>
      <c r="B2575" t="s">
        <v>3200</v>
      </c>
      <c r="C2575" t="str">
        <f>"46003119980811482X"</f>
        <v>46003119980811482X</v>
      </c>
      <c r="D2575" t="str">
        <f>"248030104029"</f>
        <v>248030104029</v>
      </c>
      <c r="L2575">
        <v>3472</v>
      </c>
      <c r="M2575" t="s">
        <v>3200</v>
      </c>
      <c r="N2575" t="str">
        <f>"248030104029"</f>
        <v>248030104029</v>
      </c>
      <c r="O2575" t="str">
        <f>"46003119980811482X"</f>
        <v>46003119980811482X</v>
      </c>
    </row>
    <row r="2576" customFormat="1" spans="1:15">
      <c r="A2576">
        <v>3473</v>
      </c>
      <c r="B2576" t="s">
        <v>3201</v>
      </c>
      <c r="C2576" t="str">
        <f>"460005200110225125"</f>
        <v>460005200110225125</v>
      </c>
      <c r="D2576" t="str">
        <f>"248030401403"</f>
        <v>248030401403</v>
      </c>
      <c r="L2576">
        <v>3473</v>
      </c>
      <c r="M2576" t="s">
        <v>3201</v>
      </c>
      <c r="N2576" t="str">
        <f>"248030401403"</f>
        <v>248030401403</v>
      </c>
      <c r="O2576" t="str">
        <f>"460005200110225125"</f>
        <v>460005200110225125</v>
      </c>
    </row>
    <row r="2577" customFormat="1" spans="1:15">
      <c r="A2577">
        <v>3474</v>
      </c>
      <c r="B2577" t="s">
        <v>3202</v>
      </c>
      <c r="C2577" t="str">
        <f>"460022199511121520"</f>
        <v>460022199511121520</v>
      </c>
      <c r="D2577" t="str">
        <f>"248030502114"</f>
        <v>248030502114</v>
      </c>
      <c r="L2577">
        <v>3474</v>
      </c>
      <c r="M2577" t="s">
        <v>3202</v>
      </c>
      <c r="N2577" t="str">
        <f>"248030502114"</f>
        <v>248030502114</v>
      </c>
      <c r="O2577" t="str">
        <f>"460022199511121520"</f>
        <v>460022199511121520</v>
      </c>
    </row>
    <row r="2578" customFormat="1" spans="1:15">
      <c r="A2578">
        <v>3476</v>
      </c>
      <c r="B2578" t="s">
        <v>3203</v>
      </c>
      <c r="C2578" t="str">
        <f>"460006200102100222"</f>
        <v>460006200102100222</v>
      </c>
      <c r="D2578" t="str">
        <f>"248030504020"</f>
        <v>248030504020</v>
      </c>
      <c r="L2578">
        <v>3476</v>
      </c>
      <c r="M2578" t="s">
        <v>3203</v>
      </c>
      <c r="N2578" t="str">
        <f>"248030504020"</f>
        <v>248030504020</v>
      </c>
      <c r="O2578" t="str">
        <f>"460006200102100222"</f>
        <v>460006200102100222</v>
      </c>
    </row>
    <row r="2579" customFormat="1" spans="1:15">
      <c r="A2579">
        <v>3477</v>
      </c>
      <c r="B2579" t="s">
        <v>3204</v>
      </c>
      <c r="C2579" t="str">
        <f>"460003199805110625"</f>
        <v>460003199805110625</v>
      </c>
      <c r="L2579">
        <v>3477</v>
      </c>
      <c r="M2579" t="s">
        <v>3204</v>
      </c>
      <c r="O2579" t="str">
        <f>"460003199805110625"</f>
        <v>460003199805110625</v>
      </c>
    </row>
    <row r="2580" customFormat="1" spans="1:15">
      <c r="A2580">
        <v>3479</v>
      </c>
      <c r="B2580" t="s">
        <v>3205</v>
      </c>
      <c r="C2580" t="str">
        <f>"460102200008090021"</f>
        <v>460102200008090021</v>
      </c>
      <c r="D2580" t="str">
        <f>"248030102803"</f>
        <v>248030102803</v>
      </c>
      <c r="L2580">
        <v>3479</v>
      </c>
      <c r="M2580" t="s">
        <v>3205</v>
      </c>
      <c r="N2580" t="str">
        <f>"248030102803"</f>
        <v>248030102803</v>
      </c>
      <c r="O2580" t="str">
        <f>"460102200008090021"</f>
        <v>460102200008090021</v>
      </c>
    </row>
    <row r="2581" customFormat="1" spans="1:15">
      <c r="A2581">
        <v>3481</v>
      </c>
      <c r="B2581" t="s">
        <v>3206</v>
      </c>
      <c r="C2581" t="str">
        <f>"460031199412090016"</f>
        <v>460031199412090016</v>
      </c>
      <c r="L2581">
        <v>3481</v>
      </c>
      <c r="M2581" t="s">
        <v>3206</v>
      </c>
      <c r="O2581" t="str">
        <f>"460031199412090016"</f>
        <v>460031199412090016</v>
      </c>
    </row>
    <row r="2582" customFormat="1" spans="1:15">
      <c r="A2582">
        <v>3482</v>
      </c>
      <c r="B2582" t="s">
        <v>3207</v>
      </c>
      <c r="C2582" t="str">
        <f>"460003199810170024"</f>
        <v>460003199810170024</v>
      </c>
      <c r="L2582">
        <v>3482</v>
      </c>
      <c r="M2582" t="s">
        <v>3207</v>
      </c>
      <c r="O2582" t="str">
        <f>"460003199810170024"</f>
        <v>460003199810170024</v>
      </c>
    </row>
    <row r="2583" customFormat="1" spans="1:15">
      <c r="A2583">
        <v>3483</v>
      </c>
      <c r="B2583" t="s">
        <v>169</v>
      </c>
      <c r="C2583" t="str">
        <f>"460004199908102624"</f>
        <v>460004199908102624</v>
      </c>
      <c r="D2583" t="str">
        <f>"248030500929"</f>
        <v>248030500929</v>
      </c>
      <c r="L2583">
        <v>3483</v>
      </c>
      <c r="M2583" t="s">
        <v>169</v>
      </c>
      <c r="N2583" t="str">
        <f>"248030500929"</f>
        <v>248030500929</v>
      </c>
      <c r="O2583" t="str">
        <f>"460004199908102624"</f>
        <v>460004199908102624</v>
      </c>
    </row>
    <row r="2584" customFormat="1" spans="1:15">
      <c r="A2584">
        <v>3484</v>
      </c>
      <c r="B2584" t="s">
        <v>3208</v>
      </c>
      <c r="C2584" t="str">
        <f>"460003199507192888"</f>
        <v>460003199507192888</v>
      </c>
      <c r="D2584" t="str">
        <f>"248030400215"</f>
        <v>248030400215</v>
      </c>
      <c r="L2584">
        <v>3484</v>
      </c>
      <c r="M2584" t="s">
        <v>3208</v>
      </c>
      <c r="N2584" t="str">
        <f>"248030400215"</f>
        <v>248030400215</v>
      </c>
      <c r="O2584" t="str">
        <f>"460003199507192888"</f>
        <v>460003199507192888</v>
      </c>
    </row>
    <row r="2585" customFormat="1" spans="1:15">
      <c r="A2585">
        <v>3485</v>
      </c>
      <c r="B2585" t="s">
        <v>3209</v>
      </c>
      <c r="C2585" t="str">
        <f>"460026199704252426"</f>
        <v>460026199704252426</v>
      </c>
      <c r="D2585" t="str">
        <f>"248030102710"</f>
        <v>248030102710</v>
      </c>
      <c r="L2585">
        <v>3485</v>
      </c>
      <c r="M2585" t="s">
        <v>3209</v>
      </c>
      <c r="N2585" t="str">
        <f>"248030102710"</f>
        <v>248030102710</v>
      </c>
      <c r="O2585" t="str">
        <f>"460026199704252426"</f>
        <v>460026199704252426</v>
      </c>
    </row>
    <row r="2586" customFormat="1" spans="1:15">
      <c r="A2586">
        <v>3486</v>
      </c>
      <c r="B2586" t="s">
        <v>3210</v>
      </c>
      <c r="C2586" t="str">
        <f>"469023200202197628"</f>
        <v>469023200202197628</v>
      </c>
      <c r="D2586" t="str">
        <f>"248030203126"</f>
        <v>248030203126</v>
      </c>
      <c r="L2586">
        <v>3486</v>
      </c>
      <c r="M2586" t="s">
        <v>3210</v>
      </c>
      <c r="N2586" t="str">
        <f>"248030203126"</f>
        <v>248030203126</v>
      </c>
      <c r="O2586" t="str">
        <f>"469023200202197628"</f>
        <v>469023200202197628</v>
      </c>
    </row>
    <row r="2587" customFormat="1" spans="1:15">
      <c r="A2587">
        <v>3487</v>
      </c>
      <c r="B2587" t="s">
        <v>3211</v>
      </c>
      <c r="C2587" t="str">
        <f>"460004199710091026"</f>
        <v>460004199710091026</v>
      </c>
      <c r="D2587" t="str">
        <f>"248030500913"</f>
        <v>248030500913</v>
      </c>
      <c r="L2587">
        <v>3487</v>
      </c>
      <c r="M2587" t="s">
        <v>3211</v>
      </c>
      <c r="N2587" t="str">
        <f>"248030500913"</f>
        <v>248030500913</v>
      </c>
      <c r="O2587" t="str">
        <f>"460004199710091026"</f>
        <v>460004199710091026</v>
      </c>
    </row>
    <row r="2588" customFormat="1" spans="1:15">
      <c r="A2588">
        <v>3488</v>
      </c>
      <c r="B2588" t="s">
        <v>3212</v>
      </c>
      <c r="C2588" t="str">
        <f>"460200199312020041"</f>
        <v>460200199312020041</v>
      </c>
      <c r="D2588" t="str">
        <f>"248030104815"</f>
        <v>248030104815</v>
      </c>
      <c r="L2588">
        <v>3488</v>
      </c>
      <c r="M2588" t="s">
        <v>3212</v>
      </c>
      <c r="N2588" t="str">
        <f>"248030104815"</f>
        <v>248030104815</v>
      </c>
      <c r="O2588" t="str">
        <f>"460200199312020041"</f>
        <v>460200199312020041</v>
      </c>
    </row>
    <row r="2589" customFormat="1" spans="1:15">
      <c r="A2589">
        <v>3489</v>
      </c>
      <c r="B2589" t="s">
        <v>3213</v>
      </c>
      <c r="C2589" t="str">
        <f>"460002199109223830"</f>
        <v>460002199109223830</v>
      </c>
      <c r="D2589" t="str">
        <f>"248030503504"</f>
        <v>248030503504</v>
      </c>
      <c r="L2589">
        <v>3489</v>
      </c>
      <c r="M2589" t="s">
        <v>3213</v>
      </c>
      <c r="N2589" t="str">
        <f>"248030503504"</f>
        <v>248030503504</v>
      </c>
      <c r="O2589" t="str">
        <f>"460002199109223830"</f>
        <v>460002199109223830</v>
      </c>
    </row>
    <row r="2590" customFormat="1" spans="1:15">
      <c r="A2590">
        <v>3490</v>
      </c>
      <c r="B2590" t="s">
        <v>3214</v>
      </c>
      <c r="C2590" t="str">
        <f>"460005199811251224"</f>
        <v>460005199811251224</v>
      </c>
      <c r="D2590" t="str">
        <f>"248030502128"</f>
        <v>248030502128</v>
      </c>
      <c r="L2590">
        <v>3490</v>
      </c>
      <c r="M2590" t="s">
        <v>3214</v>
      </c>
      <c r="N2590" t="str">
        <f>"248030502128"</f>
        <v>248030502128</v>
      </c>
      <c r="O2590" t="str">
        <f>"460005199811251224"</f>
        <v>460005199811251224</v>
      </c>
    </row>
    <row r="2591" customFormat="1" spans="1:15">
      <c r="A2591">
        <v>3491</v>
      </c>
      <c r="B2591" t="s">
        <v>775</v>
      </c>
      <c r="C2591" t="str">
        <f>"46010319970529301X"</f>
        <v>46010319970529301X</v>
      </c>
      <c r="D2591" t="str">
        <f>"248030202403"</f>
        <v>248030202403</v>
      </c>
      <c r="L2591">
        <v>3491</v>
      </c>
      <c r="M2591" t="s">
        <v>775</v>
      </c>
      <c r="N2591" t="str">
        <f>"248030202403"</f>
        <v>248030202403</v>
      </c>
      <c r="O2591" t="str">
        <f>"46010319970529301X"</f>
        <v>46010319970529301X</v>
      </c>
    </row>
    <row r="2592" customFormat="1" spans="1:15">
      <c r="A2592">
        <v>3493</v>
      </c>
      <c r="B2592" t="s">
        <v>3215</v>
      </c>
      <c r="C2592" t="str">
        <f>"460026200007260020"</f>
        <v>460026200007260020</v>
      </c>
      <c r="D2592" t="str">
        <f>"248030102709"</f>
        <v>248030102709</v>
      </c>
      <c r="L2592">
        <v>3493</v>
      </c>
      <c r="M2592" t="s">
        <v>3215</v>
      </c>
      <c r="N2592" t="str">
        <f>"248030102709"</f>
        <v>248030102709</v>
      </c>
      <c r="O2592" t="str">
        <f>"460026200007260020"</f>
        <v>460026200007260020</v>
      </c>
    </row>
    <row r="2593" customFormat="1" spans="1:15">
      <c r="A2593">
        <v>3494</v>
      </c>
      <c r="B2593" t="s">
        <v>3216</v>
      </c>
      <c r="C2593" t="str">
        <f>"362430199008170069"</f>
        <v>362430199008170069</v>
      </c>
      <c r="D2593" t="str">
        <f>"248030102122"</f>
        <v>248030102122</v>
      </c>
      <c r="L2593">
        <v>3494</v>
      </c>
      <c r="M2593" t="s">
        <v>3216</v>
      </c>
      <c r="N2593" t="str">
        <f>"248030102122"</f>
        <v>248030102122</v>
      </c>
      <c r="O2593" t="str">
        <f>"362430199008170069"</f>
        <v>362430199008170069</v>
      </c>
    </row>
    <row r="2594" customFormat="1" spans="1:15">
      <c r="A2594">
        <v>3495</v>
      </c>
      <c r="B2594" t="s">
        <v>3217</v>
      </c>
      <c r="C2594" t="str">
        <f>"441323199308265342"</f>
        <v>441323199308265342</v>
      </c>
      <c r="D2594" t="str">
        <f>"248030500526"</f>
        <v>248030500526</v>
      </c>
      <c r="L2594">
        <v>3495</v>
      </c>
      <c r="M2594" t="s">
        <v>3217</v>
      </c>
      <c r="N2594" t="str">
        <f>"248030500526"</f>
        <v>248030500526</v>
      </c>
      <c r="O2594" t="str">
        <f>"441323199308265342"</f>
        <v>441323199308265342</v>
      </c>
    </row>
    <row r="2595" customFormat="1" spans="1:15">
      <c r="A2595">
        <v>3496</v>
      </c>
      <c r="B2595" t="s">
        <v>3218</v>
      </c>
      <c r="C2595" t="str">
        <f>"230503198602010421"</f>
        <v>230503198602010421</v>
      </c>
      <c r="D2595" t="str">
        <f>"248030200528"</f>
        <v>248030200528</v>
      </c>
      <c r="L2595">
        <v>3496</v>
      </c>
      <c r="M2595" t="s">
        <v>3218</v>
      </c>
      <c r="N2595" t="str">
        <f>"248030200528"</f>
        <v>248030200528</v>
      </c>
      <c r="O2595" t="str">
        <f>"230503198602010421"</f>
        <v>230503198602010421</v>
      </c>
    </row>
    <row r="2596" customFormat="1" spans="1:15">
      <c r="A2596">
        <v>3497</v>
      </c>
      <c r="B2596" t="s">
        <v>3219</v>
      </c>
      <c r="C2596" t="str">
        <f>"440982199407042533"</f>
        <v>440982199407042533</v>
      </c>
      <c r="L2596">
        <v>3497</v>
      </c>
      <c r="M2596" t="s">
        <v>3219</v>
      </c>
      <c r="O2596" t="str">
        <f>"440982199407042533"</f>
        <v>440982199407042533</v>
      </c>
    </row>
    <row r="2597" customFormat="1" spans="1:15">
      <c r="A2597">
        <v>3498</v>
      </c>
      <c r="B2597" t="s">
        <v>3220</v>
      </c>
      <c r="C2597" t="str">
        <f>"469003200107132724"</f>
        <v>469003200107132724</v>
      </c>
      <c r="D2597" t="str">
        <f>"248030300708"</f>
        <v>248030300708</v>
      </c>
      <c r="L2597">
        <v>3498</v>
      </c>
      <c r="M2597" t="s">
        <v>3220</v>
      </c>
      <c r="N2597" t="str">
        <f>"248030300708"</f>
        <v>248030300708</v>
      </c>
      <c r="O2597" t="str">
        <f>"469003200107132724"</f>
        <v>469003200107132724</v>
      </c>
    </row>
    <row r="2598" customFormat="1" spans="1:15">
      <c r="A2598">
        <v>3499</v>
      </c>
      <c r="B2598" t="s">
        <v>3221</v>
      </c>
      <c r="C2598" t="str">
        <f>"460103200204011825"</f>
        <v>460103200204011825</v>
      </c>
      <c r="D2598" t="str">
        <f>"248030402923"</f>
        <v>248030402923</v>
      </c>
      <c r="L2598">
        <v>3499</v>
      </c>
      <c r="M2598" t="s">
        <v>3221</v>
      </c>
      <c r="N2598" t="str">
        <f>"248030402923"</f>
        <v>248030402923</v>
      </c>
      <c r="O2598" t="str">
        <f>"460103200204011825"</f>
        <v>460103200204011825</v>
      </c>
    </row>
    <row r="2599" customFormat="1" spans="1:15">
      <c r="A2599">
        <v>3500</v>
      </c>
      <c r="B2599" t="s">
        <v>3222</v>
      </c>
      <c r="C2599" t="str">
        <f>"460033199707264485"</f>
        <v>460033199707264485</v>
      </c>
      <c r="D2599" t="str">
        <f>"248030200402"</f>
        <v>248030200402</v>
      </c>
      <c r="L2599">
        <v>3500</v>
      </c>
      <c r="M2599" t="s">
        <v>3222</v>
      </c>
      <c r="N2599" t="str">
        <f>"248030200402"</f>
        <v>248030200402</v>
      </c>
      <c r="O2599" t="str">
        <f>"460033199707264485"</f>
        <v>460033199707264485</v>
      </c>
    </row>
    <row r="2600" customFormat="1" spans="1:15">
      <c r="A2600">
        <v>3501</v>
      </c>
      <c r="B2600" t="s">
        <v>573</v>
      </c>
      <c r="C2600" t="str">
        <f>"469003200011154822"</f>
        <v>469003200011154822</v>
      </c>
      <c r="D2600" t="str">
        <f>"248030302804"</f>
        <v>248030302804</v>
      </c>
      <c r="L2600">
        <v>3501</v>
      </c>
      <c r="M2600" t="s">
        <v>573</v>
      </c>
      <c r="N2600" t="str">
        <f>"248030302804"</f>
        <v>248030302804</v>
      </c>
      <c r="O2600" t="str">
        <f>"469003200011154822"</f>
        <v>469003200011154822</v>
      </c>
    </row>
    <row r="2601" customFormat="1" spans="1:15">
      <c r="A2601">
        <v>3504</v>
      </c>
      <c r="B2601" t="s">
        <v>3223</v>
      </c>
      <c r="C2601" t="str">
        <f>"469022200010140022"</f>
        <v>469022200010140022</v>
      </c>
      <c r="D2601" t="str">
        <f>"248030201403"</f>
        <v>248030201403</v>
      </c>
      <c r="L2601">
        <v>3504</v>
      </c>
      <c r="M2601" t="s">
        <v>3223</v>
      </c>
      <c r="N2601" t="str">
        <f>"248030201403"</f>
        <v>248030201403</v>
      </c>
      <c r="O2601" t="str">
        <f>"469022200010140022"</f>
        <v>469022200010140022</v>
      </c>
    </row>
    <row r="2602" customFormat="1" spans="1:15">
      <c r="A2602">
        <v>3505</v>
      </c>
      <c r="B2602" t="s">
        <v>3224</v>
      </c>
      <c r="C2602" t="str">
        <f>"220503200002231544"</f>
        <v>220503200002231544</v>
      </c>
      <c r="D2602" t="str">
        <f>"248030502314"</f>
        <v>248030502314</v>
      </c>
      <c r="L2602">
        <v>3505</v>
      </c>
      <c r="M2602" t="s">
        <v>3224</v>
      </c>
      <c r="N2602" t="str">
        <f>"248030502314"</f>
        <v>248030502314</v>
      </c>
      <c r="O2602" t="str">
        <f>"220503200002231544"</f>
        <v>220503200002231544</v>
      </c>
    </row>
    <row r="2603" customFormat="1" spans="1:15">
      <c r="A2603">
        <v>3507</v>
      </c>
      <c r="B2603" t="s">
        <v>3225</v>
      </c>
      <c r="C2603" t="str">
        <f>"430424199903117888"</f>
        <v>430424199903117888</v>
      </c>
      <c r="D2603" t="str">
        <f>"248030403915"</f>
        <v>248030403915</v>
      </c>
      <c r="L2603">
        <v>3507</v>
      </c>
      <c r="M2603" t="s">
        <v>3225</v>
      </c>
      <c r="N2603" t="str">
        <f>"248030403915"</f>
        <v>248030403915</v>
      </c>
      <c r="O2603" t="str">
        <f>"430424199903117888"</f>
        <v>430424199903117888</v>
      </c>
    </row>
    <row r="2604" customFormat="1" spans="1:15">
      <c r="A2604">
        <v>3510</v>
      </c>
      <c r="B2604" t="s">
        <v>3226</v>
      </c>
      <c r="C2604" t="str">
        <f>"460030199909205441"</f>
        <v>460030199909205441</v>
      </c>
      <c r="D2604" t="str">
        <f>"248030200113"</f>
        <v>248030200113</v>
      </c>
      <c r="L2604">
        <v>3510</v>
      </c>
      <c r="M2604" t="s">
        <v>3226</v>
      </c>
      <c r="N2604" t="str">
        <f>"248030200113"</f>
        <v>248030200113</v>
      </c>
      <c r="O2604" t="str">
        <f>"460030199909205441"</f>
        <v>460030199909205441</v>
      </c>
    </row>
    <row r="2605" customFormat="1" spans="1:15">
      <c r="A2605">
        <v>3513</v>
      </c>
      <c r="B2605" t="s">
        <v>3227</v>
      </c>
      <c r="C2605" t="str">
        <f>"460033200112284482"</f>
        <v>460033200112284482</v>
      </c>
      <c r="D2605" t="str">
        <f>"248030101725"</f>
        <v>248030101725</v>
      </c>
      <c r="L2605">
        <v>3513</v>
      </c>
      <c r="M2605" t="s">
        <v>3227</v>
      </c>
      <c r="N2605" t="str">
        <f>"248030101725"</f>
        <v>248030101725</v>
      </c>
      <c r="O2605" t="str">
        <f>"460033200112284482"</f>
        <v>460033200112284482</v>
      </c>
    </row>
    <row r="2606" customFormat="1" spans="1:15">
      <c r="A2606">
        <v>3515</v>
      </c>
      <c r="B2606" t="s">
        <v>3228</v>
      </c>
      <c r="C2606" t="str">
        <f>"513022199806028005"</f>
        <v>513022199806028005</v>
      </c>
      <c r="D2606" t="str">
        <f>"248030404223"</f>
        <v>248030404223</v>
      </c>
      <c r="L2606">
        <v>3515</v>
      </c>
      <c r="M2606" t="s">
        <v>3228</v>
      </c>
      <c r="N2606" t="str">
        <f>"248030404223"</f>
        <v>248030404223</v>
      </c>
      <c r="O2606" t="str">
        <f>"513022199806028005"</f>
        <v>513022199806028005</v>
      </c>
    </row>
    <row r="2607" customFormat="1" spans="1:15">
      <c r="A2607">
        <v>3516</v>
      </c>
      <c r="B2607" t="s">
        <v>3229</v>
      </c>
      <c r="C2607" t="str">
        <f>"46010320020521152X"</f>
        <v>46010320020521152X</v>
      </c>
      <c r="D2607" t="str">
        <f>"248030402010"</f>
        <v>248030402010</v>
      </c>
      <c r="L2607">
        <v>3516</v>
      </c>
      <c r="M2607" t="s">
        <v>3229</v>
      </c>
      <c r="N2607" t="str">
        <f>"248030402010"</f>
        <v>248030402010</v>
      </c>
      <c r="O2607" t="str">
        <f>"46010320020521152X"</f>
        <v>46010320020521152X</v>
      </c>
    </row>
    <row r="2608" customFormat="1" spans="1:15">
      <c r="A2608">
        <v>3518</v>
      </c>
      <c r="B2608" t="s">
        <v>3230</v>
      </c>
      <c r="C2608" t="str">
        <f>"46902320030207262X"</f>
        <v>46902320030207262X</v>
      </c>
      <c r="D2608" t="str">
        <f>"248030302221"</f>
        <v>248030302221</v>
      </c>
      <c r="L2608">
        <v>3518</v>
      </c>
      <c r="M2608" t="s">
        <v>3230</v>
      </c>
      <c r="N2608" t="str">
        <f>"248030302221"</f>
        <v>248030302221</v>
      </c>
      <c r="O2608" t="str">
        <f>"46902320030207262X"</f>
        <v>46902320030207262X</v>
      </c>
    </row>
    <row r="2609" customFormat="1" spans="1:15">
      <c r="A2609">
        <v>3521</v>
      </c>
      <c r="B2609" t="s">
        <v>3231</v>
      </c>
      <c r="C2609" t="str">
        <f>"460006199802120026"</f>
        <v>460006199802120026</v>
      </c>
      <c r="D2609" t="str">
        <f>"248030105009"</f>
        <v>248030105009</v>
      </c>
      <c r="L2609">
        <v>3521</v>
      </c>
      <c r="M2609" t="s">
        <v>3231</v>
      </c>
      <c r="N2609" t="str">
        <f>"248030105009"</f>
        <v>248030105009</v>
      </c>
      <c r="O2609" t="str">
        <f>"460006199802120026"</f>
        <v>460006199802120026</v>
      </c>
    </row>
    <row r="2610" customFormat="1" spans="1:15">
      <c r="A2610">
        <v>3522</v>
      </c>
      <c r="B2610" t="s">
        <v>3232</v>
      </c>
      <c r="C2610" t="str">
        <f>"230104198401153420"</f>
        <v>230104198401153420</v>
      </c>
      <c r="D2610" t="str">
        <f>"248030401617"</f>
        <v>248030401617</v>
      </c>
      <c r="L2610">
        <v>3522</v>
      </c>
      <c r="M2610" t="s">
        <v>3232</v>
      </c>
      <c r="N2610" t="str">
        <f>"248030401617"</f>
        <v>248030401617</v>
      </c>
      <c r="O2610" t="str">
        <f>"230104198401153420"</f>
        <v>230104198401153420</v>
      </c>
    </row>
    <row r="2611" customFormat="1" spans="1:15">
      <c r="A2611">
        <v>3523</v>
      </c>
      <c r="B2611" t="s">
        <v>3233</v>
      </c>
      <c r="C2611" t="str">
        <f>"460004200106145222"</f>
        <v>460004200106145222</v>
      </c>
      <c r="D2611" t="str">
        <f>"248030502429"</f>
        <v>248030502429</v>
      </c>
      <c r="L2611">
        <v>3523</v>
      </c>
      <c r="M2611" t="s">
        <v>3233</v>
      </c>
      <c r="N2611" t="str">
        <f>"248030502429"</f>
        <v>248030502429</v>
      </c>
      <c r="O2611" t="str">
        <f>"460004200106145222"</f>
        <v>460004200106145222</v>
      </c>
    </row>
    <row r="2612" customFormat="1" spans="1:15">
      <c r="A2612">
        <v>3524</v>
      </c>
      <c r="B2612" t="s">
        <v>3234</v>
      </c>
      <c r="C2612" t="str">
        <f>"460005199711233926"</f>
        <v>460005199711233926</v>
      </c>
      <c r="D2612" t="str">
        <f>"248030403501"</f>
        <v>248030403501</v>
      </c>
      <c r="L2612">
        <v>3524</v>
      </c>
      <c r="M2612" t="s">
        <v>3234</v>
      </c>
      <c r="N2612" t="str">
        <f>"248030403501"</f>
        <v>248030403501</v>
      </c>
      <c r="O2612" t="str">
        <f>"460005199711233926"</f>
        <v>460005199711233926</v>
      </c>
    </row>
    <row r="2613" customFormat="1" spans="1:15">
      <c r="A2613">
        <v>3525</v>
      </c>
      <c r="B2613" t="s">
        <v>3235</v>
      </c>
      <c r="C2613" t="str">
        <f>"460106199707022423"</f>
        <v>460106199707022423</v>
      </c>
      <c r="D2613" t="str">
        <f>"248030101626"</f>
        <v>248030101626</v>
      </c>
      <c r="L2613">
        <v>3525</v>
      </c>
      <c r="M2613" t="s">
        <v>3235</v>
      </c>
      <c r="N2613" t="str">
        <f>"248030101626"</f>
        <v>248030101626</v>
      </c>
      <c r="O2613" t="str">
        <f>"460106199707022423"</f>
        <v>460106199707022423</v>
      </c>
    </row>
    <row r="2614" customFormat="1" spans="1:15">
      <c r="A2614">
        <v>3527</v>
      </c>
      <c r="B2614" t="s">
        <v>3236</v>
      </c>
      <c r="C2614" t="str">
        <f>"360723198808250063"</f>
        <v>360723198808250063</v>
      </c>
      <c r="L2614">
        <v>3527</v>
      </c>
      <c r="M2614" t="s">
        <v>3236</v>
      </c>
      <c r="O2614" t="str">
        <f>"360723198808250063"</f>
        <v>360723198808250063</v>
      </c>
    </row>
    <row r="2615" customFormat="1" spans="1:15">
      <c r="A2615">
        <v>3528</v>
      </c>
      <c r="B2615" t="s">
        <v>782</v>
      </c>
      <c r="C2615" t="str">
        <f>"412728199111155245"</f>
        <v>412728199111155245</v>
      </c>
      <c r="D2615" t="str">
        <f>"248030203518"</f>
        <v>248030203518</v>
      </c>
      <c r="L2615">
        <v>3528</v>
      </c>
      <c r="M2615" t="s">
        <v>782</v>
      </c>
      <c r="N2615" t="str">
        <f>"248030203518"</f>
        <v>248030203518</v>
      </c>
      <c r="O2615" t="str">
        <f>"412728199111155245"</f>
        <v>412728199111155245</v>
      </c>
    </row>
    <row r="2616" customFormat="1" spans="1:15">
      <c r="A2616">
        <v>3529</v>
      </c>
      <c r="B2616" t="s">
        <v>3237</v>
      </c>
      <c r="C2616" t="str">
        <f>"460002199506304925"</f>
        <v>460002199506304925</v>
      </c>
      <c r="D2616" t="str">
        <f>"248030102404"</f>
        <v>248030102404</v>
      </c>
      <c r="L2616">
        <v>3529</v>
      </c>
      <c r="M2616" t="s">
        <v>3237</v>
      </c>
      <c r="N2616" t="str">
        <f>"248030102404"</f>
        <v>248030102404</v>
      </c>
      <c r="O2616" t="str">
        <f>"460002199506304925"</f>
        <v>460002199506304925</v>
      </c>
    </row>
    <row r="2617" customFormat="1" spans="1:15">
      <c r="A2617">
        <v>3530</v>
      </c>
      <c r="B2617" t="s">
        <v>3238</v>
      </c>
      <c r="C2617" t="str">
        <f>"460027199702221040"</f>
        <v>460027199702221040</v>
      </c>
      <c r="D2617" t="str">
        <f>"248030100702"</f>
        <v>248030100702</v>
      </c>
      <c r="L2617">
        <v>3530</v>
      </c>
      <c r="M2617" t="s">
        <v>3238</v>
      </c>
      <c r="N2617" t="str">
        <f>"248030100702"</f>
        <v>248030100702</v>
      </c>
      <c r="O2617" t="str">
        <f>"460027199702221040"</f>
        <v>460027199702221040</v>
      </c>
    </row>
    <row r="2618" customFormat="1" spans="1:15">
      <c r="A2618">
        <v>3531</v>
      </c>
      <c r="B2618" t="s">
        <v>3239</v>
      </c>
      <c r="C2618" t="str">
        <f>"460004199802280027"</f>
        <v>460004199802280027</v>
      </c>
      <c r="D2618" t="str">
        <f>"248030102630"</f>
        <v>248030102630</v>
      </c>
      <c r="L2618">
        <v>3531</v>
      </c>
      <c r="M2618" t="s">
        <v>3239</v>
      </c>
      <c r="N2618" t="str">
        <f>"248030102630"</f>
        <v>248030102630</v>
      </c>
      <c r="O2618" t="str">
        <f>"460004199802280027"</f>
        <v>460004199802280027</v>
      </c>
    </row>
    <row r="2619" customFormat="1" spans="1:15">
      <c r="A2619">
        <v>3532</v>
      </c>
      <c r="B2619" t="s">
        <v>245</v>
      </c>
      <c r="C2619" t="str">
        <f>"46010320011106002X"</f>
        <v>46010320011106002X</v>
      </c>
      <c r="D2619" t="str">
        <f>"248030403601"</f>
        <v>248030403601</v>
      </c>
      <c r="L2619">
        <v>3532</v>
      </c>
      <c r="M2619" t="s">
        <v>245</v>
      </c>
      <c r="N2619" t="str">
        <f>"248030403601"</f>
        <v>248030403601</v>
      </c>
      <c r="O2619" t="str">
        <f>"46010320011106002X"</f>
        <v>46010320011106002X</v>
      </c>
    </row>
    <row r="2620" customFormat="1" spans="1:15">
      <c r="A2620">
        <v>3533</v>
      </c>
      <c r="B2620" t="s">
        <v>269</v>
      </c>
      <c r="C2620" t="str">
        <f>"46002819900612362X"</f>
        <v>46002819900612362X</v>
      </c>
      <c r="D2620" t="str">
        <f>"248030402727"</f>
        <v>248030402727</v>
      </c>
      <c r="L2620">
        <v>3533</v>
      </c>
      <c r="M2620" t="s">
        <v>269</v>
      </c>
      <c r="N2620" t="str">
        <f>"248030402727"</f>
        <v>248030402727</v>
      </c>
      <c r="O2620" t="str">
        <f>"46002819900612362X"</f>
        <v>46002819900612362X</v>
      </c>
    </row>
    <row r="2621" customFormat="1" spans="1:15">
      <c r="A2621">
        <v>3534</v>
      </c>
      <c r="B2621" t="s">
        <v>3240</v>
      </c>
      <c r="C2621" t="str">
        <f>"460002200008284912"</f>
        <v>460002200008284912</v>
      </c>
      <c r="D2621" t="str">
        <f>"248030202130"</f>
        <v>248030202130</v>
      </c>
      <c r="L2621">
        <v>3534</v>
      </c>
      <c r="M2621" t="s">
        <v>3240</v>
      </c>
      <c r="N2621" t="str">
        <f>"248030202130"</f>
        <v>248030202130</v>
      </c>
      <c r="O2621" t="str">
        <f>"460002200008284912"</f>
        <v>460002200008284912</v>
      </c>
    </row>
    <row r="2622" customFormat="1" spans="1:15">
      <c r="A2622">
        <v>3535</v>
      </c>
      <c r="B2622" t="s">
        <v>3241</v>
      </c>
      <c r="C2622" t="str">
        <f>"460003199908282227"</f>
        <v>460003199908282227</v>
      </c>
      <c r="D2622" t="str">
        <f>"248030203205"</f>
        <v>248030203205</v>
      </c>
      <c r="L2622">
        <v>3535</v>
      </c>
      <c r="M2622" t="s">
        <v>3241</v>
      </c>
      <c r="N2622" t="str">
        <f>"248030203205"</f>
        <v>248030203205</v>
      </c>
      <c r="O2622" t="str">
        <f>"460003199908282227"</f>
        <v>460003199908282227</v>
      </c>
    </row>
    <row r="2623" customFormat="1" spans="1:15">
      <c r="A2623">
        <v>3537</v>
      </c>
      <c r="B2623" t="s">
        <v>3242</v>
      </c>
      <c r="C2623" t="str">
        <f>"460006200006248729"</f>
        <v>460006200006248729</v>
      </c>
      <c r="D2623" t="str">
        <f>"248030503611"</f>
        <v>248030503611</v>
      </c>
      <c r="L2623">
        <v>3537</v>
      </c>
      <c r="M2623" t="s">
        <v>3242</v>
      </c>
      <c r="N2623" t="str">
        <f>"248030503611"</f>
        <v>248030503611</v>
      </c>
      <c r="O2623" t="str">
        <f>"460006200006248729"</f>
        <v>460006200006248729</v>
      </c>
    </row>
    <row r="2624" customFormat="1" spans="1:15">
      <c r="A2624">
        <v>3538</v>
      </c>
      <c r="B2624" t="s">
        <v>2977</v>
      </c>
      <c r="C2624" t="str">
        <f>"46010219960805212X"</f>
        <v>46010219960805212X</v>
      </c>
      <c r="D2624" t="str">
        <f>"248030104730"</f>
        <v>248030104730</v>
      </c>
      <c r="L2624">
        <v>3538</v>
      </c>
      <c r="M2624" t="s">
        <v>2977</v>
      </c>
      <c r="N2624" t="str">
        <f>"248030104730"</f>
        <v>248030104730</v>
      </c>
      <c r="O2624" t="str">
        <f>"46010219960805212X"</f>
        <v>46010219960805212X</v>
      </c>
    </row>
    <row r="2625" customFormat="1" spans="1:15">
      <c r="A2625">
        <v>3539</v>
      </c>
      <c r="B2625" t="s">
        <v>2652</v>
      </c>
      <c r="C2625" t="str">
        <f>"460006199110104420"</f>
        <v>460006199110104420</v>
      </c>
      <c r="D2625" t="str">
        <f>"248030301024"</f>
        <v>248030301024</v>
      </c>
      <c r="L2625">
        <v>3539</v>
      </c>
      <c r="M2625" t="s">
        <v>2652</v>
      </c>
      <c r="N2625" t="str">
        <f>"248030301024"</f>
        <v>248030301024</v>
      </c>
      <c r="O2625" t="str">
        <f>"460006199110104420"</f>
        <v>460006199110104420</v>
      </c>
    </row>
    <row r="2626" customFormat="1" spans="1:15">
      <c r="A2626">
        <v>3541</v>
      </c>
      <c r="B2626" t="s">
        <v>3243</v>
      </c>
      <c r="C2626" t="str">
        <f>"460005199909260321"</f>
        <v>460005199909260321</v>
      </c>
      <c r="D2626" t="str">
        <f>"248030103402"</f>
        <v>248030103402</v>
      </c>
      <c r="L2626">
        <v>3541</v>
      </c>
      <c r="M2626" t="s">
        <v>3243</v>
      </c>
      <c r="N2626" t="str">
        <f>"248030103402"</f>
        <v>248030103402</v>
      </c>
      <c r="O2626" t="str">
        <f>"460005199909260321"</f>
        <v>460005199909260321</v>
      </c>
    </row>
    <row r="2627" customFormat="1" spans="1:15">
      <c r="A2627">
        <v>3542</v>
      </c>
      <c r="B2627" t="s">
        <v>3244</v>
      </c>
      <c r="C2627" t="str">
        <f>"230229199912234123"</f>
        <v>230229199912234123</v>
      </c>
      <c r="D2627" t="str">
        <f>"248030203724"</f>
        <v>248030203724</v>
      </c>
      <c r="L2627">
        <v>3542</v>
      </c>
      <c r="M2627" t="s">
        <v>3244</v>
      </c>
      <c r="N2627" t="str">
        <f>"248030203724"</f>
        <v>248030203724</v>
      </c>
      <c r="O2627" t="str">
        <f>"230229199912234123"</f>
        <v>230229199912234123</v>
      </c>
    </row>
    <row r="2628" customFormat="1" spans="1:15">
      <c r="A2628">
        <v>3543</v>
      </c>
      <c r="B2628" t="s">
        <v>3245</v>
      </c>
      <c r="C2628" t="str">
        <f>"460002199009166613"</f>
        <v>460002199009166613</v>
      </c>
      <c r="D2628" t="str">
        <f>"248030301424"</f>
        <v>248030301424</v>
      </c>
      <c r="L2628">
        <v>3543</v>
      </c>
      <c r="M2628" t="s">
        <v>3245</v>
      </c>
      <c r="N2628" t="str">
        <f>"248030301424"</f>
        <v>248030301424</v>
      </c>
      <c r="O2628" t="str">
        <f>"460002199009166613"</f>
        <v>460002199009166613</v>
      </c>
    </row>
    <row r="2629" customFormat="1" spans="1:15">
      <c r="A2629">
        <v>3547</v>
      </c>
      <c r="B2629" t="s">
        <v>314</v>
      </c>
      <c r="C2629" t="str">
        <f>"460004200005121424"</f>
        <v>460004200005121424</v>
      </c>
      <c r="D2629" t="str">
        <f>"248030100524"</f>
        <v>248030100524</v>
      </c>
      <c r="L2629">
        <v>3547</v>
      </c>
      <c r="M2629" t="s">
        <v>314</v>
      </c>
      <c r="N2629" t="str">
        <f>"248030100524"</f>
        <v>248030100524</v>
      </c>
      <c r="O2629" t="str">
        <f>"460004200005121424"</f>
        <v>460004200005121424</v>
      </c>
    </row>
    <row r="2630" customFormat="1" spans="1:15">
      <c r="A2630">
        <v>3548</v>
      </c>
      <c r="B2630" t="s">
        <v>3246</v>
      </c>
      <c r="C2630" t="str">
        <f>"460006199702055247"</f>
        <v>460006199702055247</v>
      </c>
      <c r="D2630" t="str">
        <f>"248030501625"</f>
        <v>248030501625</v>
      </c>
      <c r="L2630">
        <v>3548</v>
      </c>
      <c r="M2630" t="s">
        <v>3246</v>
      </c>
      <c r="N2630" t="str">
        <f>"248030501625"</f>
        <v>248030501625</v>
      </c>
      <c r="O2630" t="str">
        <f>"460006199702055247"</f>
        <v>460006199702055247</v>
      </c>
    </row>
    <row r="2631" customFormat="1" spans="1:15">
      <c r="A2631">
        <v>3549</v>
      </c>
      <c r="B2631" t="s">
        <v>3247</v>
      </c>
      <c r="C2631" t="str">
        <f>"46000619970911342X"</f>
        <v>46000619970911342X</v>
      </c>
      <c r="D2631" t="str">
        <f>"248030200406"</f>
        <v>248030200406</v>
      </c>
      <c r="L2631">
        <v>3549</v>
      </c>
      <c r="M2631" t="s">
        <v>3247</v>
      </c>
      <c r="N2631" t="str">
        <f>"248030200406"</f>
        <v>248030200406</v>
      </c>
      <c r="O2631" t="str">
        <f>"46000619970911342X"</f>
        <v>46000619970911342X</v>
      </c>
    </row>
    <row r="2632" customFormat="1" spans="1:15">
      <c r="A2632">
        <v>3550</v>
      </c>
      <c r="B2632" t="s">
        <v>3248</v>
      </c>
      <c r="C2632" t="str">
        <f>"460004199811160027"</f>
        <v>460004199811160027</v>
      </c>
      <c r="D2632" t="str">
        <f>"248030200807"</f>
        <v>248030200807</v>
      </c>
      <c r="L2632">
        <v>3550</v>
      </c>
      <c r="M2632" t="s">
        <v>3248</v>
      </c>
      <c r="N2632" t="str">
        <f>"248030200807"</f>
        <v>248030200807</v>
      </c>
      <c r="O2632" t="str">
        <f>"460004199811160027"</f>
        <v>460004199811160027</v>
      </c>
    </row>
    <row r="2633" customFormat="1" spans="1:15">
      <c r="A2633">
        <v>3551</v>
      </c>
      <c r="B2633" t="s">
        <v>3249</v>
      </c>
      <c r="C2633" t="str">
        <f>"460027200111094129"</f>
        <v>460027200111094129</v>
      </c>
      <c r="D2633" t="str">
        <f>"248030102018"</f>
        <v>248030102018</v>
      </c>
      <c r="L2633">
        <v>3551</v>
      </c>
      <c r="M2633" t="s">
        <v>3249</v>
      </c>
      <c r="N2633" t="str">
        <f>"248030102018"</f>
        <v>248030102018</v>
      </c>
      <c r="O2633" t="str">
        <f>"460027200111094129"</f>
        <v>460027200111094129</v>
      </c>
    </row>
    <row r="2634" customFormat="1" spans="1:15">
      <c r="A2634">
        <v>3552</v>
      </c>
      <c r="B2634" t="s">
        <v>3250</v>
      </c>
      <c r="C2634" t="str">
        <f>"460005199711020525"</f>
        <v>460005199711020525</v>
      </c>
      <c r="L2634">
        <v>3552</v>
      </c>
      <c r="M2634" t="s">
        <v>3250</v>
      </c>
      <c r="O2634" t="str">
        <f>"460005199711020525"</f>
        <v>460005199711020525</v>
      </c>
    </row>
    <row r="2635" customFormat="1" spans="1:15">
      <c r="A2635">
        <v>3554</v>
      </c>
      <c r="B2635" t="s">
        <v>3251</v>
      </c>
      <c r="C2635" t="str">
        <f>"460102200011111241"</f>
        <v>460102200011111241</v>
      </c>
      <c r="D2635" t="str">
        <f>"248030400810"</f>
        <v>248030400810</v>
      </c>
      <c r="L2635">
        <v>3554</v>
      </c>
      <c r="M2635" t="s">
        <v>3251</v>
      </c>
      <c r="N2635" t="str">
        <f>"248030400810"</f>
        <v>248030400810</v>
      </c>
      <c r="O2635" t="str">
        <f>"460102200011111241"</f>
        <v>460102200011111241</v>
      </c>
    </row>
    <row r="2636" customFormat="1" spans="1:15">
      <c r="A2636">
        <v>3555</v>
      </c>
      <c r="B2636" t="s">
        <v>3252</v>
      </c>
      <c r="C2636" t="str">
        <f>"460035199209040625"</f>
        <v>460035199209040625</v>
      </c>
      <c r="D2636" t="str">
        <f>"248030300101"</f>
        <v>248030300101</v>
      </c>
      <c r="L2636">
        <v>3555</v>
      </c>
      <c r="M2636" t="s">
        <v>3252</v>
      </c>
      <c r="N2636" t="str">
        <f>"248030300101"</f>
        <v>248030300101</v>
      </c>
      <c r="O2636" t="str">
        <f>"460035199209040625"</f>
        <v>460035199209040625</v>
      </c>
    </row>
    <row r="2637" customFormat="1" spans="1:15">
      <c r="A2637">
        <v>3556</v>
      </c>
      <c r="B2637" t="s">
        <v>3253</v>
      </c>
      <c r="C2637" t="str">
        <f>"460200199310012304"</f>
        <v>460200199310012304</v>
      </c>
      <c r="D2637" t="str">
        <f>"248030502225"</f>
        <v>248030502225</v>
      </c>
      <c r="L2637">
        <v>3556</v>
      </c>
      <c r="M2637" t="s">
        <v>3253</v>
      </c>
      <c r="N2637" t="str">
        <f>"248030502225"</f>
        <v>248030502225</v>
      </c>
      <c r="O2637" t="str">
        <f>"460200199310012304"</f>
        <v>460200199310012304</v>
      </c>
    </row>
    <row r="2638" customFormat="1" spans="1:15">
      <c r="A2638">
        <v>3558</v>
      </c>
      <c r="B2638" t="s">
        <v>41</v>
      </c>
      <c r="C2638" t="str">
        <f>"460004199606080028"</f>
        <v>460004199606080028</v>
      </c>
      <c r="D2638" t="str">
        <f>"248030400830"</f>
        <v>248030400830</v>
      </c>
      <c r="L2638">
        <v>3558</v>
      </c>
      <c r="M2638" t="s">
        <v>41</v>
      </c>
      <c r="N2638" t="str">
        <f>"248030400830"</f>
        <v>248030400830</v>
      </c>
      <c r="O2638" t="str">
        <f>"460004199606080028"</f>
        <v>460004199606080028</v>
      </c>
    </row>
    <row r="2639" customFormat="1" spans="1:15">
      <c r="A2639">
        <v>3559</v>
      </c>
      <c r="B2639" t="s">
        <v>3254</v>
      </c>
      <c r="C2639" t="str">
        <f>"460007199511106220"</f>
        <v>460007199511106220</v>
      </c>
      <c r="L2639">
        <v>3559</v>
      </c>
      <c r="M2639" t="s">
        <v>3254</v>
      </c>
      <c r="O2639" t="str">
        <f>"460007199511106220"</f>
        <v>460007199511106220</v>
      </c>
    </row>
    <row r="2640" customFormat="1" spans="1:15">
      <c r="A2640">
        <v>3560</v>
      </c>
      <c r="B2640" t="s">
        <v>3255</v>
      </c>
      <c r="C2640" t="str">
        <f>"460300199710120027"</f>
        <v>460300199710120027</v>
      </c>
      <c r="D2640" t="str">
        <f>"248030504105"</f>
        <v>248030504105</v>
      </c>
      <c r="L2640">
        <v>3560</v>
      </c>
      <c r="M2640" t="s">
        <v>3255</v>
      </c>
      <c r="N2640" t="str">
        <f>"248030504105"</f>
        <v>248030504105</v>
      </c>
      <c r="O2640" t="str">
        <f>"460300199710120027"</f>
        <v>460300199710120027</v>
      </c>
    </row>
    <row r="2641" customFormat="1" spans="1:15">
      <c r="A2641">
        <v>3561</v>
      </c>
      <c r="B2641" t="s">
        <v>3256</v>
      </c>
      <c r="C2641" t="str">
        <f>"46000419970629041X"</f>
        <v>46000419970629041X</v>
      </c>
      <c r="D2641" t="str">
        <f>"248030200403"</f>
        <v>248030200403</v>
      </c>
      <c r="L2641">
        <v>3561</v>
      </c>
      <c r="M2641" t="s">
        <v>3256</v>
      </c>
      <c r="N2641" t="str">
        <f>"248030200403"</f>
        <v>248030200403</v>
      </c>
      <c r="O2641" t="str">
        <f>"46000419970629041X"</f>
        <v>46000419970629041X</v>
      </c>
    </row>
    <row r="2642" customFormat="1" spans="1:15">
      <c r="A2642">
        <v>3562</v>
      </c>
      <c r="B2642" t="s">
        <v>3257</v>
      </c>
      <c r="C2642" t="str">
        <f>"460102199809260646"</f>
        <v>460102199809260646</v>
      </c>
      <c r="L2642">
        <v>3562</v>
      </c>
      <c r="M2642" t="s">
        <v>3257</v>
      </c>
      <c r="O2642" t="str">
        <f>"460102199809260646"</f>
        <v>460102199809260646</v>
      </c>
    </row>
    <row r="2643" customFormat="1" spans="1:15">
      <c r="A2643">
        <v>3563</v>
      </c>
      <c r="B2643" t="s">
        <v>3258</v>
      </c>
      <c r="C2643" t="str">
        <f>"460004199709274028"</f>
        <v>460004199709274028</v>
      </c>
      <c r="D2643" t="str">
        <f>"248030200526"</f>
        <v>248030200526</v>
      </c>
      <c r="L2643">
        <v>3563</v>
      </c>
      <c r="M2643" t="s">
        <v>3258</v>
      </c>
      <c r="N2643" t="str">
        <f>"248030200526"</f>
        <v>248030200526</v>
      </c>
      <c r="O2643" t="str">
        <f>"460004199709274028"</f>
        <v>460004199709274028</v>
      </c>
    </row>
    <row r="2644" customFormat="1" spans="1:15">
      <c r="A2644">
        <v>3565</v>
      </c>
      <c r="B2644" t="s">
        <v>554</v>
      </c>
      <c r="C2644" t="str">
        <f>"230605199211062227"</f>
        <v>230605199211062227</v>
      </c>
      <c r="D2644" t="str">
        <f>"248030302625"</f>
        <v>248030302625</v>
      </c>
      <c r="L2644">
        <v>3565</v>
      </c>
      <c r="M2644" t="s">
        <v>554</v>
      </c>
      <c r="N2644" t="str">
        <f>"248030302625"</f>
        <v>248030302625</v>
      </c>
      <c r="O2644" t="str">
        <f>"230605199211062227"</f>
        <v>230605199211062227</v>
      </c>
    </row>
    <row r="2645" customFormat="1" spans="1:15">
      <c r="A2645">
        <v>3566</v>
      </c>
      <c r="B2645" t="s">
        <v>187</v>
      </c>
      <c r="C2645" t="str">
        <f>"460034199807302123"</f>
        <v>460034199807302123</v>
      </c>
      <c r="D2645" t="str">
        <f>"248030101125"</f>
        <v>248030101125</v>
      </c>
      <c r="L2645">
        <v>3566</v>
      </c>
      <c r="M2645" t="s">
        <v>187</v>
      </c>
      <c r="N2645" t="str">
        <f>"248030101125"</f>
        <v>248030101125</v>
      </c>
      <c r="O2645" t="str">
        <f>"460034199807302123"</f>
        <v>460034199807302123</v>
      </c>
    </row>
    <row r="2646" customFormat="1" spans="1:15">
      <c r="A2646">
        <v>3567</v>
      </c>
      <c r="B2646" t="s">
        <v>3259</v>
      </c>
      <c r="C2646" t="str">
        <f>"460002199803183824"</f>
        <v>460002199803183824</v>
      </c>
      <c r="D2646" t="str">
        <f>"248030402108"</f>
        <v>248030402108</v>
      </c>
      <c r="L2646">
        <v>3567</v>
      </c>
      <c r="M2646" t="s">
        <v>3259</v>
      </c>
      <c r="N2646" t="str">
        <f>"248030402108"</f>
        <v>248030402108</v>
      </c>
      <c r="O2646" t="str">
        <f>"460002199803183824"</f>
        <v>460002199803183824</v>
      </c>
    </row>
    <row r="2647" customFormat="1" spans="1:15">
      <c r="A2647">
        <v>3568</v>
      </c>
      <c r="B2647" t="s">
        <v>88</v>
      </c>
      <c r="C2647" t="str">
        <f>"46000619891117722X"</f>
        <v>46000619891117722X</v>
      </c>
      <c r="D2647" t="str">
        <f>"248030501719"</f>
        <v>248030501719</v>
      </c>
      <c r="L2647">
        <v>3568</v>
      </c>
      <c r="M2647" t="s">
        <v>88</v>
      </c>
      <c r="N2647" t="str">
        <f>"248030501719"</f>
        <v>248030501719</v>
      </c>
      <c r="O2647" t="str">
        <f>"46000619891117722X"</f>
        <v>46000619891117722X</v>
      </c>
    </row>
    <row r="2648" customFormat="1" spans="1:15">
      <c r="A2648">
        <v>3569</v>
      </c>
      <c r="B2648" t="s">
        <v>3260</v>
      </c>
      <c r="C2648" t="str">
        <f>"469021199802223326"</f>
        <v>469021199802223326</v>
      </c>
      <c r="D2648" t="str">
        <f>"248030101615"</f>
        <v>248030101615</v>
      </c>
      <c r="L2648">
        <v>3569</v>
      </c>
      <c r="M2648" t="s">
        <v>3260</v>
      </c>
      <c r="N2648" t="str">
        <f>"248030101615"</f>
        <v>248030101615</v>
      </c>
      <c r="O2648" t="str">
        <f>"469021199802223326"</f>
        <v>469021199802223326</v>
      </c>
    </row>
    <row r="2649" customFormat="1" spans="1:15">
      <c r="A2649">
        <v>3570</v>
      </c>
      <c r="B2649" t="s">
        <v>3261</v>
      </c>
      <c r="C2649" t="str">
        <f>"460005199612146229"</f>
        <v>460005199612146229</v>
      </c>
      <c r="D2649" t="str">
        <f>"248030104807"</f>
        <v>248030104807</v>
      </c>
      <c r="L2649">
        <v>3570</v>
      </c>
      <c r="M2649" t="s">
        <v>3261</v>
      </c>
      <c r="N2649" t="str">
        <f>"248030104807"</f>
        <v>248030104807</v>
      </c>
      <c r="O2649" t="str">
        <f>"460005199612146229"</f>
        <v>460005199612146229</v>
      </c>
    </row>
    <row r="2650" customFormat="1" spans="1:15">
      <c r="A2650">
        <v>3571</v>
      </c>
      <c r="B2650" t="s">
        <v>3262</v>
      </c>
      <c r="C2650" t="str">
        <f>"460300199510280325"</f>
        <v>460300199510280325</v>
      </c>
      <c r="D2650" t="str">
        <f>"248030401328"</f>
        <v>248030401328</v>
      </c>
      <c r="L2650">
        <v>3571</v>
      </c>
      <c r="M2650" t="s">
        <v>3262</v>
      </c>
      <c r="N2650" t="str">
        <f>"248030401328"</f>
        <v>248030401328</v>
      </c>
      <c r="O2650" t="str">
        <f>"460300199510280325"</f>
        <v>460300199510280325</v>
      </c>
    </row>
    <row r="2651" customFormat="1" spans="1:15">
      <c r="A2651">
        <v>3572</v>
      </c>
      <c r="B2651" t="s">
        <v>3263</v>
      </c>
      <c r="C2651" t="str">
        <f>"41142419911111802X"</f>
        <v>41142419911111802X</v>
      </c>
      <c r="D2651" t="str">
        <f>"248030503005"</f>
        <v>248030503005</v>
      </c>
      <c r="L2651">
        <v>3572</v>
      </c>
      <c r="M2651" t="s">
        <v>3263</v>
      </c>
      <c r="N2651" t="str">
        <f>"248030503005"</f>
        <v>248030503005</v>
      </c>
      <c r="O2651" t="str">
        <f>"41142419911111802X"</f>
        <v>41142419911111802X</v>
      </c>
    </row>
    <row r="2652" customFormat="1" spans="1:15">
      <c r="A2652">
        <v>3573</v>
      </c>
      <c r="B2652" t="s">
        <v>3264</v>
      </c>
      <c r="C2652" t="str">
        <f>"46000319960726624X"</f>
        <v>46000319960726624X</v>
      </c>
      <c r="D2652" t="str">
        <f>"248030502004"</f>
        <v>248030502004</v>
      </c>
      <c r="L2652">
        <v>3573</v>
      </c>
      <c r="M2652" t="s">
        <v>3264</v>
      </c>
      <c r="N2652" t="str">
        <f>"248030502004"</f>
        <v>248030502004</v>
      </c>
      <c r="O2652" t="str">
        <f>"46000319960726624X"</f>
        <v>46000319960726624X</v>
      </c>
    </row>
    <row r="2653" customFormat="1" spans="1:15">
      <c r="A2653">
        <v>3575</v>
      </c>
      <c r="B2653" t="s">
        <v>3265</v>
      </c>
      <c r="C2653" t="str">
        <f>"46002820000429122X"</f>
        <v>46002820000429122X</v>
      </c>
      <c r="D2653" t="str">
        <f>"248030501806"</f>
        <v>248030501806</v>
      </c>
      <c r="L2653">
        <v>3575</v>
      </c>
      <c r="M2653" t="s">
        <v>3265</v>
      </c>
      <c r="N2653" t="str">
        <f>"248030501806"</f>
        <v>248030501806</v>
      </c>
      <c r="O2653" t="str">
        <f>"46002820000429122X"</f>
        <v>46002820000429122X</v>
      </c>
    </row>
    <row r="2654" customFormat="1" spans="1:15">
      <c r="A2654">
        <v>3576</v>
      </c>
      <c r="B2654" t="s">
        <v>3266</v>
      </c>
      <c r="C2654" t="str">
        <f>"460033199911273880"</f>
        <v>460033199911273880</v>
      </c>
      <c r="D2654" t="str">
        <f>"248030103114"</f>
        <v>248030103114</v>
      </c>
      <c r="L2654">
        <v>3576</v>
      </c>
      <c r="M2654" t="s">
        <v>3266</v>
      </c>
      <c r="N2654" t="str">
        <f>"248030103114"</f>
        <v>248030103114</v>
      </c>
      <c r="O2654" t="str">
        <f>"460033199911273880"</f>
        <v>460033199911273880</v>
      </c>
    </row>
    <row r="2655" customFormat="1" spans="1:15">
      <c r="A2655">
        <v>3577</v>
      </c>
      <c r="B2655" t="s">
        <v>3267</v>
      </c>
      <c r="C2655" t="str">
        <f>"460022199909192724"</f>
        <v>460022199909192724</v>
      </c>
      <c r="D2655" t="str">
        <f>"248030400315"</f>
        <v>248030400315</v>
      </c>
      <c r="L2655">
        <v>3577</v>
      </c>
      <c r="M2655" t="s">
        <v>3267</v>
      </c>
      <c r="N2655" t="str">
        <f>"248030400315"</f>
        <v>248030400315</v>
      </c>
      <c r="O2655" t="str">
        <f>"460022199909192724"</f>
        <v>460022199909192724</v>
      </c>
    </row>
    <row r="2656" customFormat="1" spans="1:15">
      <c r="A2656">
        <v>3578</v>
      </c>
      <c r="B2656" t="s">
        <v>345</v>
      </c>
      <c r="C2656" t="str">
        <f>"331082199709260014"</f>
        <v>331082199709260014</v>
      </c>
      <c r="D2656" t="str">
        <f>"248030301930"</f>
        <v>248030301930</v>
      </c>
      <c r="L2656">
        <v>3578</v>
      </c>
      <c r="M2656" t="s">
        <v>345</v>
      </c>
      <c r="N2656" t="str">
        <f>"248030301930"</f>
        <v>248030301930</v>
      </c>
      <c r="O2656" t="str">
        <f>"331082199709260014"</f>
        <v>331082199709260014</v>
      </c>
    </row>
    <row r="2657" customFormat="1" spans="1:15">
      <c r="A2657">
        <v>3579</v>
      </c>
      <c r="B2657" t="s">
        <v>3268</v>
      </c>
      <c r="C2657" t="str">
        <f>"460003199507062848"</f>
        <v>460003199507062848</v>
      </c>
      <c r="D2657" t="str">
        <f>"248030500822"</f>
        <v>248030500822</v>
      </c>
      <c r="L2657">
        <v>3579</v>
      </c>
      <c r="M2657" t="s">
        <v>3268</v>
      </c>
      <c r="N2657" t="str">
        <f>"248030500822"</f>
        <v>248030500822</v>
      </c>
      <c r="O2657" t="str">
        <f>"460003199507062848"</f>
        <v>460003199507062848</v>
      </c>
    </row>
    <row r="2658" customFormat="1" spans="1:15">
      <c r="A2658">
        <v>3580</v>
      </c>
      <c r="B2658" t="s">
        <v>3269</v>
      </c>
      <c r="C2658" t="str">
        <f>"460028199907250423"</f>
        <v>460028199907250423</v>
      </c>
      <c r="D2658" t="str">
        <f>"248030503925"</f>
        <v>248030503925</v>
      </c>
      <c r="L2658">
        <v>3580</v>
      </c>
      <c r="M2658" t="s">
        <v>3269</v>
      </c>
      <c r="N2658" t="str">
        <f>"248030503925"</f>
        <v>248030503925</v>
      </c>
      <c r="O2658" t="str">
        <f>"460028199907250423"</f>
        <v>460028199907250423</v>
      </c>
    </row>
    <row r="2659" customFormat="1" spans="1:15">
      <c r="A2659">
        <v>3581</v>
      </c>
      <c r="B2659" t="s">
        <v>3270</v>
      </c>
      <c r="C2659" t="str">
        <f>"460028200104170820"</f>
        <v>460028200104170820</v>
      </c>
      <c r="D2659" t="str">
        <f>"248030100617"</f>
        <v>248030100617</v>
      </c>
      <c r="L2659">
        <v>3581</v>
      </c>
      <c r="M2659" t="s">
        <v>3270</v>
      </c>
      <c r="N2659" t="str">
        <f>"248030100617"</f>
        <v>248030100617</v>
      </c>
      <c r="O2659" t="str">
        <f>"460028200104170820"</f>
        <v>460028200104170820</v>
      </c>
    </row>
    <row r="2660" customFormat="1" spans="1:15">
      <c r="A2660">
        <v>3582</v>
      </c>
      <c r="B2660" t="s">
        <v>3271</v>
      </c>
      <c r="C2660" t="str">
        <f>"460102199602061228"</f>
        <v>460102199602061228</v>
      </c>
      <c r="D2660" t="str">
        <f>"248030300112"</f>
        <v>248030300112</v>
      </c>
      <c r="L2660">
        <v>3582</v>
      </c>
      <c r="M2660" t="s">
        <v>3271</v>
      </c>
      <c r="N2660" t="str">
        <f>"248030300112"</f>
        <v>248030300112</v>
      </c>
      <c r="O2660" t="str">
        <f>"460102199602061228"</f>
        <v>460102199602061228</v>
      </c>
    </row>
    <row r="2661" customFormat="1" spans="1:15">
      <c r="A2661">
        <v>3583</v>
      </c>
      <c r="B2661" t="s">
        <v>3272</v>
      </c>
      <c r="C2661" t="str">
        <f>"410303198901301520"</f>
        <v>410303198901301520</v>
      </c>
      <c r="L2661">
        <v>3583</v>
      </c>
      <c r="M2661" t="s">
        <v>3272</v>
      </c>
      <c r="O2661" t="str">
        <f>"410303198901301520"</f>
        <v>410303198901301520</v>
      </c>
    </row>
    <row r="2662" customFormat="1" spans="1:15">
      <c r="A2662">
        <v>3584</v>
      </c>
      <c r="B2662" t="s">
        <v>3273</v>
      </c>
      <c r="C2662" t="str">
        <f>"460200199501073820"</f>
        <v>460200199501073820</v>
      </c>
      <c r="D2662" t="str">
        <f>"248030101501"</f>
        <v>248030101501</v>
      </c>
      <c r="L2662">
        <v>3584</v>
      </c>
      <c r="M2662" t="s">
        <v>3273</v>
      </c>
      <c r="N2662" t="str">
        <f>"248030101501"</f>
        <v>248030101501</v>
      </c>
      <c r="O2662" t="str">
        <f>"460200199501073820"</f>
        <v>460200199501073820</v>
      </c>
    </row>
    <row r="2663" customFormat="1" spans="1:15">
      <c r="A2663">
        <v>3585</v>
      </c>
      <c r="B2663" t="s">
        <v>3274</v>
      </c>
      <c r="C2663" t="str">
        <f>"460028199212028025"</f>
        <v>460028199212028025</v>
      </c>
      <c r="D2663" t="str">
        <f>"248030402505"</f>
        <v>248030402505</v>
      </c>
      <c r="L2663">
        <v>3585</v>
      </c>
      <c r="M2663" t="s">
        <v>3274</v>
      </c>
      <c r="N2663" t="str">
        <f>"248030402505"</f>
        <v>248030402505</v>
      </c>
      <c r="O2663" t="str">
        <f>"460028199212028025"</f>
        <v>460028199212028025</v>
      </c>
    </row>
    <row r="2664" customFormat="1" spans="1:15">
      <c r="A2664">
        <v>3586</v>
      </c>
      <c r="B2664" t="s">
        <v>3275</v>
      </c>
      <c r="C2664" t="str">
        <f>"460027199304013449"</f>
        <v>460027199304013449</v>
      </c>
      <c r="D2664" t="str">
        <f>"248030500408"</f>
        <v>248030500408</v>
      </c>
      <c r="L2664">
        <v>3586</v>
      </c>
      <c r="M2664" t="s">
        <v>3275</v>
      </c>
      <c r="N2664" t="str">
        <f>"248030500408"</f>
        <v>248030500408</v>
      </c>
      <c r="O2664" t="str">
        <f>"460027199304013449"</f>
        <v>460027199304013449</v>
      </c>
    </row>
    <row r="2665" customFormat="1" spans="1:15">
      <c r="A2665">
        <v>3587</v>
      </c>
      <c r="B2665" t="s">
        <v>2820</v>
      </c>
      <c r="C2665" t="str">
        <f>"412828198609135189"</f>
        <v>412828198609135189</v>
      </c>
      <c r="D2665" t="str">
        <f>"248030101509"</f>
        <v>248030101509</v>
      </c>
      <c r="L2665">
        <v>3587</v>
      </c>
      <c r="M2665" t="s">
        <v>2820</v>
      </c>
      <c r="N2665" t="str">
        <f>"248030101509"</f>
        <v>248030101509</v>
      </c>
      <c r="O2665" t="str">
        <f>"412828198609135189"</f>
        <v>412828198609135189</v>
      </c>
    </row>
    <row r="2666" customFormat="1" spans="1:15">
      <c r="A2666">
        <v>3589</v>
      </c>
      <c r="B2666" t="s">
        <v>3276</v>
      </c>
      <c r="C2666" t="str">
        <f>"41152819950925652X"</f>
        <v>41152819950925652X</v>
      </c>
      <c r="D2666" t="str">
        <f>"248030400227"</f>
        <v>248030400227</v>
      </c>
      <c r="L2666">
        <v>3589</v>
      </c>
      <c r="M2666" t="s">
        <v>3276</v>
      </c>
      <c r="N2666" t="str">
        <f>"248030400227"</f>
        <v>248030400227</v>
      </c>
      <c r="O2666" t="str">
        <f>"41152819950925652X"</f>
        <v>41152819950925652X</v>
      </c>
    </row>
    <row r="2667" customFormat="1" spans="1:15">
      <c r="A2667">
        <v>3590</v>
      </c>
      <c r="B2667" t="s">
        <v>3277</v>
      </c>
      <c r="C2667" t="str">
        <f>"152628199701015825"</f>
        <v>152628199701015825</v>
      </c>
      <c r="L2667">
        <v>3590</v>
      </c>
      <c r="M2667" t="s">
        <v>3277</v>
      </c>
      <c r="O2667" t="str">
        <f>"152628199701015825"</f>
        <v>152628199701015825</v>
      </c>
    </row>
    <row r="2668" customFormat="1" spans="1:15">
      <c r="A2668">
        <v>3591</v>
      </c>
      <c r="B2668" t="s">
        <v>3278</v>
      </c>
      <c r="C2668" t="str">
        <f>"460033199706284708"</f>
        <v>460033199706284708</v>
      </c>
      <c r="D2668" t="str">
        <f>"248030400530"</f>
        <v>248030400530</v>
      </c>
      <c r="L2668">
        <v>3591</v>
      </c>
      <c r="M2668" t="s">
        <v>3278</v>
      </c>
      <c r="N2668" t="str">
        <f>"248030400530"</f>
        <v>248030400530</v>
      </c>
      <c r="O2668" t="str">
        <f>"460033199706284708"</f>
        <v>460033199706284708</v>
      </c>
    </row>
    <row r="2669" customFormat="1" spans="1:15">
      <c r="A2669">
        <v>3592</v>
      </c>
      <c r="B2669" t="s">
        <v>3279</v>
      </c>
      <c r="C2669" t="str">
        <f>"460030199306123324"</f>
        <v>460030199306123324</v>
      </c>
      <c r="D2669" t="str">
        <f>"248030401303"</f>
        <v>248030401303</v>
      </c>
      <c r="L2669">
        <v>3592</v>
      </c>
      <c r="M2669" t="s">
        <v>3279</v>
      </c>
      <c r="N2669" t="str">
        <f>"248030401303"</f>
        <v>248030401303</v>
      </c>
      <c r="O2669" t="str">
        <f>"460030199306123324"</f>
        <v>460030199306123324</v>
      </c>
    </row>
    <row r="2670" customFormat="1" spans="1:15">
      <c r="A2670">
        <v>3593</v>
      </c>
      <c r="B2670" t="s">
        <v>3280</v>
      </c>
      <c r="C2670" t="str">
        <f>"460027200112035665"</f>
        <v>460027200112035665</v>
      </c>
      <c r="L2670">
        <v>3593</v>
      </c>
      <c r="M2670" t="s">
        <v>3280</v>
      </c>
      <c r="O2670" t="str">
        <f>"460027200112035665"</f>
        <v>460027200112035665</v>
      </c>
    </row>
    <row r="2671" customFormat="1" spans="1:15">
      <c r="A2671">
        <v>3594</v>
      </c>
      <c r="B2671" t="s">
        <v>214</v>
      </c>
      <c r="C2671" t="str">
        <f>"460035199710201728"</f>
        <v>460035199710201728</v>
      </c>
      <c r="D2671" t="str">
        <f>"248030101429"</f>
        <v>248030101429</v>
      </c>
      <c r="L2671">
        <v>3594</v>
      </c>
      <c r="M2671" t="s">
        <v>214</v>
      </c>
      <c r="N2671" t="str">
        <f>"248030101429"</f>
        <v>248030101429</v>
      </c>
      <c r="O2671" t="str">
        <f>"460035199710201728"</f>
        <v>460035199710201728</v>
      </c>
    </row>
    <row r="2672" customFormat="1" spans="1:15">
      <c r="A2672">
        <v>3595</v>
      </c>
      <c r="B2672" t="s">
        <v>3281</v>
      </c>
      <c r="C2672" t="str">
        <f>"460104199007141525"</f>
        <v>460104199007141525</v>
      </c>
      <c r="D2672" t="str">
        <f>"248030403430"</f>
        <v>248030403430</v>
      </c>
      <c r="L2672">
        <v>3595</v>
      </c>
      <c r="M2672" t="s">
        <v>3281</v>
      </c>
      <c r="N2672" t="str">
        <f>"248030403430"</f>
        <v>248030403430</v>
      </c>
      <c r="O2672" t="str">
        <f>"460104199007141525"</f>
        <v>460104199007141525</v>
      </c>
    </row>
    <row r="2673" customFormat="1" spans="1:15">
      <c r="A2673">
        <v>3596</v>
      </c>
      <c r="B2673" t="s">
        <v>3282</v>
      </c>
      <c r="C2673" t="str">
        <f>"460003199802160627"</f>
        <v>460003199802160627</v>
      </c>
      <c r="D2673" t="str">
        <f>"248030504103"</f>
        <v>248030504103</v>
      </c>
      <c r="L2673">
        <v>3596</v>
      </c>
      <c r="M2673" t="s">
        <v>3282</v>
      </c>
      <c r="N2673" t="str">
        <f>"248030504103"</f>
        <v>248030504103</v>
      </c>
      <c r="O2673" t="str">
        <f>"460003199802160627"</f>
        <v>460003199802160627</v>
      </c>
    </row>
    <row r="2674" customFormat="1" spans="1:15">
      <c r="A2674">
        <v>3597</v>
      </c>
      <c r="B2674" t="s">
        <v>3283</v>
      </c>
      <c r="C2674" t="str">
        <f>"460104198509011224"</f>
        <v>460104198509011224</v>
      </c>
      <c r="D2674" t="str">
        <f>"248030502403"</f>
        <v>248030502403</v>
      </c>
      <c r="L2674">
        <v>3597</v>
      </c>
      <c r="M2674" t="s">
        <v>3283</v>
      </c>
      <c r="N2674" t="str">
        <f>"248030502403"</f>
        <v>248030502403</v>
      </c>
      <c r="O2674" t="str">
        <f>"460104198509011224"</f>
        <v>460104198509011224</v>
      </c>
    </row>
    <row r="2675" customFormat="1" spans="1:15">
      <c r="A2675">
        <v>3599</v>
      </c>
      <c r="B2675" t="s">
        <v>3284</v>
      </c>
      <c r="C2675" t="str">
        <f>"460005199808180023"</f>
        <v>460005199808180023</v>
      </c>
      <c r="D2675" t="str">
        <f>"248030102612"</f>
        <v>248030102612</v>
      </c>
      <c r="L2675">
        <v>3599</v>
      </c>
      <c r="M2675" t="s">
        <v>3284</v>
      </c>
      <c r="N2675" t="str">
        <f>"248030102612"</f>
        <v>248030102612</v>
      </c>
      <c r="O2675" t="str">
        <f>"460005199808180023"</f>
        <v>460005199808180023</v>
      </c>
    </row>
    <row r="2676" customFormat="1" spans="1:15">
      <c r="A2676">
        <v>3602</v>
      </c>
      <c r="B2676" t="s">
        <v>3285</v>
      </c>
      <c r="C2676" t="str">
        <f>"460006199906144022"</f>
        <v>460006199906144022</v>
      </c>
      <c r="D2676" t="str">
        <f>"248030200922"</f>
        <v>248030200922</v>
      </c>
      <c r="L2676">
        <v>3602</v>
      </c>
      <c r="M2676" t="s">
        <v>3285</v>
      </c>
      <c r="N2676" t="str">
        <f>"248030200922"</f>
        <v>248030200922</v>
      </c>
      <c r="O2676" t="str">
        <f>"460006199906144022"</f>
        <v>460006199906144022</v>
      </c>
    </row>
    <row r="2677" customFormat="1" spans="1:15">
      <c r="A2677">
        <v>3603</v>
      </c>
      <c r="B2677" t="s">
        <v>3286</v>
      </c>
      <c r="C2677" t="str">
        <f>"440804199911200516"</f>
        <v>440804199911200516</v>
      </c>
      <c r="D2677" t="str">
        <f>"248030201913"</f>
        <v>248030201913</v>
      </c>
      <c r="L2677">
        <v>3603</v>
      </c>
      <c r="M2677" t="s">
        <v>3286</v>
      </c>
      <c r="N2677" t="str">
        <f>"248030201913"</f>
        <v>248030201913</v>
      </c>
      <c r="O2677" t="str">
        <f>"440804199911200516"</f>
        <v>440804199911200516</v>
      </c>
    </row>
    <row r="2678" customFormat="1" spans="1:15">
      <c r="A2678">
        <v>3604</v>
      </c>
      <c r="B2678" t="s">
        <v>3287</v>
      </c>
      <c r="C2678" t="str">
        <f>"46000220020204412X"</f>
        <v>46000220020204412X</v>
      </c>
      <c r="D2678" t="str">
        <f>"248030401021"</f>
        <v>248030401021</v>
      </c>
      <c r="L2678">
        <v>3604</v>
      </c>
      <c r="M2678" t="s">
        <v>3287</v>
      </c>
      <c r="N2678" t="str">
        <f>"248030401021"</f>
        <v>248030401021</v>
      </c>
      <c r="O2678" t="str">
        <f>"46000220020204412X"</f>
        <v>46000220020204412X</v>
      </c>
    </row>
    <row r="2679" customFormat="1" spans="1:15">
      <c r="A2679">
        <v>3605</v>
      </c>
      <c r="B2679" t="s">
        <v>3288</v>
      </c>
      <c r="C2679" t="str">
        <f>"46002619960126212X"</f>
        <v>46002619960126212X</v>
      </c>
      <c r="D2679" t="str">
        <f>"248030501307"</f>
        <v>248030501307</v>
      </c>
      <c r="L2679">
        <v>3605</v>
      </c>
      <c r="M2679" t="s">
        <v>3288</v>
      </c>
      <c r="N2679" t="str">
        <f>"248030501307"</f>
        <v>248030501307</v>
      </c>
      <c r="O2679" t="str">
        <f>"46002619960126212X"</f>
        <v>46002619960126212X</v>
      </c>
    </row>
    <row r="2680" customFormat="1" spans="1:15">
      <c r="A2680">
        <v>3606</v>
      </c>
      <c r="B2680" t="s">
        <v>3289</v>
      </c>
      <c r="C2680" t="str">
        <f>"42112219971002356X"</f>
        <v>42112219971002356X</v>
      </c>
      <c r="D2680" t="str">
        <f>"248030403214"</f>
        <v>248030403214</v>
      </c>
      <c r="L2680">
        <v>3606</v>
      </c>
      <c r="M2680" t="s">
        <v>3289</v>
      </c>
      <c r="N2680" t="str">
        <f>"248030403214"</f>
        <v>248030403214</v>
      </c>
      <c r="O2680" t="str">
        <f>"42112219971002356X"</f>
        <v>42112219971002356X</v>
      </c>
    </row>
    <row r="2681" customFormat="1" spans="1:15">
      <c r="A2681">
        <v>3607</v>
      </c>
      <c r="B2681" t="s">
        <v>3290</v>
      </c>
      <c r="C2681" t="str">
        <f>"460028199107100507"</f>
        <v>460028199107100507</v>
      </c>
      <c r="D2681" t="str">
        <f>"248030403707"</f>
        <v>248030403707</v>
      </c>
      <c r="L2681">
        <v>3607</v>
      </c>
      <c r="M2681" t="s">
        <v>3290</v>
      </c>
      <c r="N2681" t="str">
        <f>"248030403707"</f>
        <v>248030403707</v>
      </c>
      <c r="O2681" t="str">
        <f>"460028199107100507"</f>
        <v>460028199107100507</v>
      </c>
    </row>
    <row r="2682" customFormat="1" spans="1:15">
      <c r="A2682">
        <v>3608</v>
      </c>
      <c r="B2682" t="s">
        <v>3291</v>
      </c>
      <c r="C2682" t="str">
        <f>"652927199812130023"</f>
        <v>652927199812130023</v>
      </c>
      <c r="D2682" t="str">
        <f>"248030202814"</f>
        <v>248030202814</v>
      </c>
      <c r="L2682">
        <v>3608</v>
      </c>
      <c r="M2682" t="s">
        <v>3291</v>
      </c>
      <c r="N2682" t="str">
        <f>"248030202814"</f>
        <v>248030202814</v>
      </c>
      <c r="O2682" t="str">
        <f>"652927199812130023"</f>
        <v>652927199812130023</v>
      </c>
    </row>
    <row r="2683" customFormat="1" spans="1:15">
      <c r="A2683">
        <v>3609</v>
      </c>
      <c r="B2683" t="s">
        <v>3292</v>
      </c>
      <c r="C2683" t="str">
        <f>"460028200106033221"</f>
        <v>460028200106033221</v>
      </c>
      <c r="L2683">
        <v>3609</v>
      </c>
      <c r="M2683" t="s">
        <v>3292</v>
      </c>
      <c r="O2683" t="str">
        <f>"460028200106033221"</f>
        <v>460028200106033221</v>
      </c>
    </row>
    <row r="2684" customFormat="1" spans="1:15">
      <c r="A2684">
        <v>3610</v>
      </c>
      <c r="B2684" t="s">
        <v>3293</v>
      </c>
      <c r="C2684" t="str">
        <f>"460031199110050828"</f>
        <v>460031199110050828</v>
      </c>
      <c r="D2684" t="str">
        <f>"248030300615"</f>
        <v>248030300615</v>
      </c>
      <c r="L2684">
        <v>3610</v>
      </c>
      <c r="M2684" t="s">
        <v>3293</v>
      </c>
      <c r="N2684" t="str">
        <f>"248030300615"</f>
        <v>248030300615</v>
      </c>
      <c r="O2684" t="str">
        <f>"460031199110050828"</f>
        <v>460031199110050828</v>
      </c>
    </row>
    <row r="2685" customFormat="1" spans="1:15">
      <c r="A2685">
        <v>3611</v>
      </c>
      <c r="B2685" t="s">
        <v>3294</v>
      </c>
      <c r="C2685" t="str">
        <f>"460033200110220020"</f>
        <v>460033200110220020</v>
      </c>
      <c r="D2685" t="str">
        <f>"248030203803"</f>
        <v>248030203803</v>
      </c>
      <c r="L2685">
        <v>3611</v>
      </c>
      <c r="M2685" t="s">
        <v>3294</v>
      </c>
      <c r="N2685" t="str">
        <f>"248030203803"</f>
        <v>248030203803</v>
      </c>
      <c r="O2685" t="str">
        <f>"460033200110220020"</f>
        <v>460033200110220020</v>
      </c>
    </row>
    <row r="2686" customFormat="1" spans="1:15">
      <c r="A2686">
        <v>3612</v>
      </c>
      <c r="B2686" t="s">
        <v>564</v>
      </c>
      <c r="C2686" t="str">
        <f>"460002200007093823"</f>
        <v>460002200007093823</v>
      </c>
      <c r="D2686" t="str">
        <f>"248030302629"</f>
        <v>248030302629</v>
      </c>
      <c r="L2686">
        <v>3612</v>
      </c>
      <c r="M2686" t="s">
        <v>564</v>
      </c>
      <c r="N2686" t="str">
        <f>"248030302629"</f>
        <v>248030302629</v>
      </c>
      <c r="O2686" t="str">
        <f>"460002200007093823"</f>
        <v>460002200007093823</v>
      </c>
    </row>
    <row r="2687" customFormat="1" spans="1:15">
      <c r="A2687">
        <v>3613</v>
      </c>
      <c r="B2687" t="s">
        <v>3295</v>
      </c>
      <c r="C2687" t="str">
        <f>"460036199804084127"</f>
        <v>460036199804084127</v>
      </c>
      <c r="D2687" t="str">
        <f>"248030104012"</f>
        <v>248030104012</v>
      </c>
      <c r="L2687">
        <v>3613</v>
      </c>
      <c r="M2687" t="s">
        <v>3295</v>
      </c>
      <c r="N2687" t="str">
        <f>"248030104012"</f>
        <v>248030104012</v>
      </c>
      <c r="O2687" t="str">
        <f>"460036199804084127"</f>
        <v>460036199804084127</v>
      </c>
    </row>
    <row r="2688" customFormat="1" spans="1:15">
      <c r="A2688">
        <v>3614</v>
      </c>
      <c r="B2688" t="s">
        <v>3296</v>
      </c>
      <c r="C2688" t="str">
        <f>"460033199302054527"</f>
        <v>460033199302054527</v>
      </c>
      <c r="D2688" t="str">
        <f>"248030301821"</f>
        <v>248030301821</v>
      </c>
      <c r="L2688">
        <v>3614</v>
      </c>
      <c r="M2688" t="s">
        <v>3296</v>
      </c>
      <c r="N2688" t="str">
        <f>"248030301821"</f>
        <v>248030301821</v>
      </c>
      <c r="O2688" t="str">
        <f>"460033199302054527"</f>
        <v>460033199302054527</v>
      </c>
    </row>
    <row r="2689" customFormat="1" spans="1:15">
      <c r="A2689">
        <v>3615</v>
      </c>
      <c r="B2689" t="s">
        <v>3297</v>
      </c>
      <c r="C2689" t="str">
        <f>"460103199010071824"</f>
        <v>460103199010071824</v>
      </c>
      <c r="D2689" t="str">
        <f>"248030502211"</f>
        <v>248030502211</v>
      </c>
      <c r="L2689">
        <v>3615</v>
      </c>
      <c r="M2689" t="s">
        <v>3297</v>
      </c>
      <c r="N2689" t="str">
        <f>"248030502211"</f>
        <v>248030502211</v>
      </c>
      <c r="O2689" t="str">
        <f>"460103199010071824"</f>
        <v>460103199010071824</v>
      </c>
    </row>
    <row r="2690" customFormat="1" spans="1:15">
      <c r="A2690">
        <v>3616</v>
      </c>
      <c r="B2690" t="s">
        <v>3298</v>
      </c>
      <c r="C2690" t="str">
        <f>"440582199502023662"</f>
        <v>440582199502023662</v>
      </c>
      <c r="L2690">
        <v>3616</v>
      </c>
      <c r="M2690" t="s">
        <v>3298</v>
      </c>
      <c r="O2690" t="str">
        <f>"440582199502023662"</f>
        <v>440582199502023662</v>
      </c>
    </row>
    <row r="2691" customFormat="1" spans="1:15">
      <c r="A2691">
        <v>3617</v>
      </c>
      <c r="B2691" t="s">
        <v>110</v>
      </c>
      <c r="C2691" t="str">
        <f>"141181199607080083"</f>
        <v>141181199607080083</v>
      </c>
      <c r="D2691" t="str">
        <f>"248030101627"</f>
        <v>248030101627</v>
      </c>
      <c r="L2691">
        <v>3617</v>
      </c>
      <c r="M2691" t="s">
        <v>110</v>
      </c>
      <c r="N2691" t="str">
        <f>"248030101627"</f>
        <v>248030101627</v>
      </c>
      <c r="O2691" t="str">
        <f>"141181199607080083"</f>
        <v>141181199607080083</v>
      </c>
    </row>
    <row r="2692" customFormat="1" spans="1:15">
      <c r="A2692">
        <v>3618</v>
      </c>
      <c r="B2692" t="s">
        <v>3299</v>
      </c>
      <c r="C2692" t="str">
        <f>"460003200209074627"</f>
        <v>460003200209074627</v>
      </c>
      <c r="D2692" t="str">
        <f>"248030403318"</f>
        <v>248030403318</v>
      </c>
      <c r="L2692">
        <v>3618</v>
      </c>
      <c r="M2692" t="s">
        <v>3299</v>
      </c>
      <c r="N2692" t="str">
        <f>"248030403318"</f>
        <v>248030403318</v>
      </c>
      <c r="O2692" t="str">
        <f>"460003200209074627"</f>
        <v>460003200209074627</v>
      </c>
    </row>
    <row r="2693" customFormat="1" spans="1:15">
      <c r="A2693">
        <v>3619</v>
      </c>
      <c r="B2693" t="s">
        <v>3300</v>
      </c>
      <c r="C2693" t="str">
        <f>"460200199709203874"</f>
        <v>460200199709203874</v>
      </c>
      <c r="D2693" t="str">
        <f>"248030201204"</f>
        <v>248030201204</v>
      </c>
      <c r="L2693">
        <v>3619</v>
      </c>
      <c r="M2693" t="s">
        <v>3300</v>
      </c>
      <c r="N2693" t="str">
        <f>"248030201204"</f>
        <v>248030201204</v>
      </c>
      <c r="O2693" t="str">
        <f>"460200199709203874"</f>
        <v>460200199709203874</v>
      </c>
    </row>
    <row r="2694" customFormat="1" spans="1:15">
      <c r="A2694">
        <v>3620</v>
      </c>
      <c r="B2694" t="s">
        <v>3301</v>
      </c>
      <c r="C2694" t="str">
        <f>"440981200104130228"</f>
        <v>440981200104130228</v>
      </c>
      <c r="D2694" t="str">
        <f>"248030401020"</f>
        <v>248030401020</v>
      </c>
      <c r="L2694">
        <v>3620</v>
      </c>
      <c r="M2694" t="s">
        <v>3301</v>
      </c>
      <c r="N2694" t="str">
        <f>"248030401020"</f>
        <v>248030401020</v>
      </c>
      <c r="O2694" t="str">
        <f>"440981200104130228"</f>
        <v>440981200104130228</v>
      </c>
    </row>
    <row r="2695" customFormat="1" spans="1:15">
      <c r="A2695">
        <v>3622</v>
      </c>
      <c r="B2695" t="s">
        <v>3302</v>
      </c>
      <c r="C2695" t="str">
        <f>"460031200205190028"</f>
        <v>460031200205190028</v>
      </c>
      <c r="L2695">
        <v>3622</v>
      </c>
      <c r="M2695" t="s">
        <v>3302</v>
      </c>
      <c r="O2695" t="str">
        <f>"460031200205190028"</f>
        <v>460031200205190028</v>
      </c>
    </row>
    <row r="2696" customFormat="1" spans="1:15">
      <c r="A2696">
        <v>3623</v>
      </c>
      <c r="B2696" t="s">
        <v>3303</v>
      </c>
      <c r="C2696" t="str">
        <f>"469007200103304985"</f>
        <v>469007200103304985</v>
      </c>
      <c r="D2696" t="str">
        <f>"248030501005"</f>
        <v>248030501005</v>
      </c>
      <c r="L2696">
        <v>3623</v>
      </c>
      <c r="M2696" t="s">
        <v>3303</v>
      </c>
      <c r="N2696" t="str">
        <f>"248030501005"</f>
        <v>248030501005</v>
      </c>
      <c r="O2696" t="str">
        <f>"469007200103304985"</f>
        <v>469007200103304985</v>
      </c>
    </row>
    <row r="2697" customFormat="1" spans="1:15">
      <c r="A2697">
        <v>3624</v>
      </c>
      <c r="B2697" t="s">
        <v>3304</v>
      </c>
      <c r="C2697" t="str">
        <f>"460033199908215081"</f>
        <v>460033199908215081</v>
      </c>
      <c r="D2697" t="str">
        <f>"248030501328"</f>
        <v>248030501328</v>
      </c>
      <c r="L2697">
        <v>3624</v>
      </c>
      <c r="M2697" t="s">
        <v>3304</v>
      </c>
      <c r="N2697" t="str">
        <f>"248030501328"</f>
        <v>248030501328</v>
      </c>
      <c r="O2697" t="str">
        <f>"460033199908215081"</f>
        <v>460033199908215081</v>
      </c>
    </row>
    <row r="2698" customFormat="1" spans="1:15">
      <c r="A2698">
        <v>3625</v>
      </c>
      <c r="B2698" t="s">
        <v>3305</v>
      </c>
      <c r="C2698" t="str">
        <f>"460003199505106413"</f>
        <v>460003199505106413</v>
      </c>
      <c r="D2698" t="str">
        <f>"248030402705"</f>
        <v>248030402705</v>
      </c>
      <c r="L2698">
        <v>3625</v>
      </c>
      <c r="M2698" t="s">
        <v>3305</v>
      </c>
      <c r="N2698" t="str">
        <f>"248030402705"</f>
        <v>248030402705</v>
      </c>
      <c r="O2698" t="str">
        <f>"460003199505106413"</f>
        <v>460003199505106413</v>
      </c>
    </row>
    <row r="2699" customFormat="1" spans="1:15">
      <c r="A2699">
        <v>3626</v>
      </c>
      <c r="B2699" t="s">
        <v>675</v>
      </c>
      <c r="C2699" t="str">
        <f>"460033199808043868"</f>
        <v>460033199808043868</v>
      </c>
      <c r="D2699" t="str">
        <f>"248030502418"</f>
        <v>248030502418</v>
      </c>
      <c r="L2699">
        <v>3626</v>
      </c>
      <c r="M2699" t="s">
        <v>675</v>
      </c>
      <c r="N2699" t="str">
        <f>"248030502418"</f>
        <v>248030502418</v>
      </c>
      <c r="O2699" t="str">
        <f>"460033199808043868"</f>
        <v>460033199808043868</v>
      </c>
    </row>
    <row r="2700" customFormat="1" spans="1:15">
      <c r="A2700">
        <v>3628</v>
      </c>
      <c r="B2700" t="s">
        <v>3306</v>
      </c>
      <c r="C2700" t="str">
        <f>"460006200201084424"</f>
        <v>460006200201084424</v>
      </c>
      <c r="D2700" t="str">
        <f>"248030501113"</f>
        <v>248030501113</v>
      </c>
      <c r="L2700">
        <v>3628</v>
      </c>
      <c r="M2700" t="s">
        <v>3306</v>
      </c>
      <c r="N2700" t="str">
        <f>"248030501113"</f>
        <v>248030501113</v>
      </c>
      <c r="O2700" t="str">
        <f>"460006200201084424"</f>
        <v>460006200201084424</v>
      </c>
    </row>
    <row r="2701" customFormat="1" spans="1:15">
      <c r="A2701">
        <v>3629</v>
      </c>
      <c r="B2701" t="s">
        <v>3307</v>
      </c>
      <c r="C2701" t="str">
        <f>"460031200202180027"</f>
        <v>460031200202180027</v>
      </c>
      <c r="D2701" t="str">
        <f>"248030302615"</f>
        <v>248030302615</v>
      </c>
      <c r="L2701">
        <v>3629</v>
      </c>
      <c r="M2701" t="s">
        <v>3307</v>
      </c>
      <c r="N2701" t="str">
        <f>"248030302615"</f>
        <v>248030302615</v>
      </c>
      <c r="O2701" t="str">
        <f>"460031200202180027"</f>
        <v>460031200202180027</v>
      </c>
    </row>
    <row r="2702" customFormat="1" spans="1:15">
      <c r="A2702">
        <v>3631</v>
      </c>
      <c r="B2702" t="s">
        <v>3308</v>
      </c>
      <c r="C2702" t="str">
        <f>"460003199209056685"</f>
        <v>460003199209056685</v>
      </c>
      <c r="D2702" t="str">
        <f>"248030100124"</f>
        <v>248030100124</v>
      </c>
      <c r="L2702">
        <v>3631</v>
      </c>
      <c r="M2702" t="s">
        <v>3308</v>
      </c>
      <c r="N2702" t="str">
        <f>"248030100124"</f>
        <v>248030100124</v>
      </c>
      <c r="O2702" t="str">
        <f>"460003199209056685"</f>
        <v>460003199209056685</v>
      </c>
    </row>
    <row r="2703" customFormat="1" spans="1:15">
      <c r="A2703">
        <v>3633</v>
      </c>
      <c r="B2703" t="s">
        <v>3309</v>
      </c>
      <c r="C2703" t="str">
        <f>"460034199205210440"</f>
        <v>460034199205210440</v>
      </c>
      <c r="D2703" t="str">
        <f>"248030500708"</f>
        <v>248030500708</v>
      </c>
      <c r="L2703">
        <v>3633</v>
      </c>
      <c r="M2703" t="s">
        <v>3309</v>
      </c>
      <c r="N2703" t="str">
        <f>"248030500708"</f>
        <v>248030500708</v>
      </c>
      <c r="O2703" t="str">
        <f>"460034199205210440"</f>
        <v>460034199205210440</v>
      </c>
    </row>
    <row r="2704" customFormat="1" spans="1:15">
      <c r="A2704">
        <v>3634</v>
      </c>
      <c r="B2704" t="s">
        <v>3310</v>
      </c>
      <c r="C2704" t="str">
        <f>"460028199805260081"</f>
        <v>460028199805260081</v>
      </c>
      <c r="D2704" t="str">
        <f>"248030202525"</f>
        <v>248030202525</v>
      </c>
      <c r="L2704">
        <v>3634</v>
      </c>
      <c r="M2704" t="s">
        <v>3310</v>
      </c>
      <c r="N2704" t="str">
        <f>"248030202525"</f>
        <v>248030202525</v>
      </c>
      <c r="O2704" t="str">
        <f>"460028199805260081"</f>
        <v>460028199805260081</v>
      </c>
    </row>
    <row r="2705" customFormat="1" spans="1:15">
      <c r="A2705">
        <v>3635</v>
      </c>
      <c r="B2705" t="s">
        <v>3311</v>
      </c>
      <c r="C2705" t="str">
        <f>"460036198708247243"</f>
        <v>460036198708247243</v>
      </c>
      <c r="D2705" t="str">
        <f>"248030502116"</f>
        <v>248030502116</v>
      </c>
      <c r="L2705">
        <v>3635</v>
      </c>
      <c r="M2705" t="s">
        <v>3311</v>
      </c>
      <c r="N2705" t="str">
        <f>"248030502116"</f>
        <v>248030502116</v>
      </c>
      <c r="O2705" t="str">
        <f>"460036198708247243"</f>
        <v>460036198708247243</v>
      </c>
    </row>
    <row r="2706" customFormat="1" spans="1:15">
      <c r="A2706">
        <v>3637</v>
      </c>
      <c r="B2706" t="s">
        <v>3312</v>
      </c>
      <c r="C2706" t="str">
        <f>"460103199601140924"</f>
        <v>460103199601140924</v>
      </c>
      <c r="D2706" t="str">
        <f>"248030501110"</f>
        <v>248030501110</v>
      </c>
      <c r="L2706">
        <v>3637</v>
      </c>
      <c r="M2706" t="s">
        <v>3312</v>
      </c>
      <c r="N2706" t="str">
        <f>"248030501110"</f>
        <v>248030501110</v>
      </c>
      <c r="O2706" t="str">
        <f>"460103199601140924"</f>
        <v>460103199601140924</v>
      </c>
    </row>
    <row r="2707" customFormat="1" spans="1:15">
      <c r="A2707">
        <v>3640</v>
      </c>
      <c r="B2707" t="s">
        <v>3313</v>
      </c>
      <c r="C2707" t="str">
        <f>"460103199008080326"</f>
        <v>460103199008080326</v>
      </c>
      <c r="D2707" t="str">
        <f>"248030102016"</f>
        <v>248030102016</v>
      </c>
      <c r="L2707">
        <v>3640</v>
      </c>
      <c r="M2707" t="s">
        <v>3313</v>
      </c>
      <c r="N2707" t="str">
        <f>"248030102016"</f>
        <v>248030102016</v>
      </c>
      <c r="O2707" t="str">
        <f>"460103199008080326"</f>
        <v>460103199008080326</v>
      </c>
    </row>
    <row r="2708" customFormat="1" spans="1:15">
      <c r="A2708">
        <v>3641</v>
      </c>
      <c r="B2708" t="s">
        <v>3314</v>
      </c>
      <c r="C2708" t="str">
        <f>"460006200202264427"</f>
        <v>460006200202264427</v>
      </c>
      <c r="D2708" t="str">
        <f>"248030504022"</f>
        <v>248030504022</v>
      </c>
      <c r="L2708">
        <v>3641</v>
      </c>
      <c r="M2708" t="s">
        <v>3314</v>
      </c>
      <c r="N2708" t="str">
        <f>"248030504022"</f>
        <v>248030504022</v>
      </c>
      <c r="O2708" t="str">
        <f>"460006200202264427"</f>
        <v>460006200202264427</v>
      </c>
    </row>
    <row r="2709" customFormat="1" spans="1:15">
      <c r="A2709">
        <v>3642</v>
      </c>
      <c r="B2709" t="s">
        <v>3315</v>
      </c>
      <c r="C2709" t="str">
        <f>"46000519990122211X"</f>
        <v>46000519990122211X</v>
      </c>
      <c r="D2709" t="str">
        <f>"248030201127"</f>
        <v>248030201127</v>
      </c>
      <c r="L2709">
        <v>3642</v>
      </c>
      <c r="M2709" t="s">
        <v>3315</v>
      </c>
      <c r="N2709" t="str">
        <f>"248030201127"</f>
        <v>248030201127</v>
      </c>
      <c r="O2709" t="str">
        <f>"46000519990122211X"</f>
        <v>46000519990122211X</v>
      </c>
    </row>
    <row r="2710" customFormat="1" spans="1:15">
      <c r="A2710">
        <v>3643</v>
      </c>
      <c r="B2710" t="s">
        <v>3316</v>
      </c>
      <c r="C2710" t="str">
        <f>"130402200201033627"</f>
        <v>130402200201033627</v>
      </c>
      <c r="D2710" t="str">
        <f>"248030404022"</f>
        <v>248030404022</v>
      </c>
      <c r="L2710">
        <v>3643</v>
      </c>
      <c r="M2710" t="s">
        <v>3316</v>
      </c>
      <c r="N2710" t="str">
        <f>"248030404022"</f>
        <v>248030404022</v>
      </c>
      <c r="O2710" t="str">
        <f>"130402200201033627"</f>
        <v>130402200201033627</v>
      </c>
    </row>
    <row r="2711" customFormat="1" spans="1:15">
      <c r="A2711">
        <v>3644</v>
      </c>
      <c r="B2711" t="s">
        <v>3317</v>
      </c>
      <c r="C2711" t="str">
        <f>"460003198810265811"</f>
        <v>460003198810265811</v>
      </c>
      <c r="L2711">
        <v>3644</v>
      </c>
      <c r="M2711" t="s">
        <v>3317</v>
      </c>
      <c r="O2711" t="str">
        <f>"460003198810265811"</f>
        <v>460003198810265811</v>
      </c>
    </row>
    <row r="2712" customFormat="1" spans="1:15">
      <c r="A2712">
        <v>3645</v>
      </c>
      <c r="B2712" t="s">
        <v>3318</v>
      </c>
      <c r="C2712" t="str">
        <f>"460004199412163212"</f>
        <v>460004199412163212</v>
      </c>
      <c r="D2712" t="str">
        <f>"248030101918"</f>
        <v>248030101918</v>
      </c>
      <c r="L2712">
        <v>3645</v>
      </c>
      <c r="M2712" t="s">
        <v>3318</v>
      </c>
      <c r="N2712" t="str">
        <f>"248030101918"</f>
        <v>248030101918</v>
      </c>
      <c r="O2712" t="str">
        <f>"460004199412163212"</f>
        <v>460004199412163212</v>
      </c>
    </row>
    <row r="2713" customFormat="1" spans="1:15">
      <c r="A2713">
        <v>3646</v>
      </c>
      <c r="B2713" t="s">
        <v>3319</v>
      </c>
      <c r="C2713" t="str">
        <f>"460003199612072845"</f>
        <v>460003199612072845</v>
      </c>
      <c r="L2713">
        <v>3646</v>
      </c>
      <c r="M2713" t="s">
        <v>3319</v>
      </c>
      <c r="O2713" t="str">
        <f>"460003199612072845"</f>
        <v>460003199612072845</v>
      </c>
    </row>
    <row r="2714" customFormat="1" spans="1:15">
      <c r="A2714">
        <v>3647</v>
      </c>
      <c r="B2714" t="s">
        <v>369</v>
      </c>
      <c r="C2714" t="str">
        <f>"460004198803210026"</f>
        <v>460004198803210026</v>
      </c>
      <c r="D2714" t="str">
        <f>"248030102706"</f>
        <v>248030102706</v>
      </c>
      <c r="L2714">
        <v>3647</v>
      </c>
      <c r="M2714" t="s">
        <v>369</v>
      </c>
      <c r="N2714" t="str">
        <f>"248030102706"</f>
        <v>248030102706</v>
      </c>
      <c r="O2714" t="str">
        <f>"460004198803210026"</f>
        <v>460004198803210026</v>
      </c>
    </row>
    <row r="2715" customFormat="1" spans="1:15">
      <c r="A2715">
        <v>3648</v>
      </c>
      <c r="B2715" t="s">
        <v>3320</v>
      </c>
      <c r="C2715" t="str">
        <f>"460003200007192414"</f>
        <v>460003200007192414</v>
      </c>
      <c r="L2715">
        <v>3648</v>
      </c>
      <c r="M2715" t="s">
        <v>3320</v>
      </c>
      <c r="O2715" t="str">
        <f>"460003200007192414"</f>
        <v>460003200007192414</v>
      </c>
    </row>
    <row r="2716" customFormat="1" spans="1:15">
      <c r="A2716">
        <v>3650</v>
      </c>
      <c r="B2716" t="s">
        <v>3321</v>
      </c>
      <c r="C2716" t="str">
        <f>"53062420000809216X"</f>
        <v>53062420000809216X</v>
      </c>
      <c r="D2716" t="str">
        <f>"248030401107"</f>
        <v>248030401107</v>
      </c>
      <c r="L2716">
        <v>3650</v>
      </c>
      <c r="M2716" t="s">
        <v>3321</v>
      </c>
      <c r="N2716" t="str">
        <f>"248030401107"</f>
        <v>248030401107</v>
      </c>
      <c r="O2716" t="str">
        <f>"53062420000809216X"</f>
        <v>53062420000809216X</v>
      </c>
    </row>
    <row r="2717" customFormat="1" spans="1:15">
      <c r="A2717">
        <v>3652</v>
      </c>
      <c r="B2717" t="s">
        <v>3322</v>
      </c>
      <c r="C2717" t="str">
        <f>"460003199302213825"</f>
        <v>460003199302213825</v>
      </c>
      <c r="D2717" t="str">
        <f>"248030302513"</f>
        <v>248030302513</v>
      </c>
      <c r="L2717">
        <v>3652</v>
      </c>
      <c r="M2717" t="s">
        <v>3322</v>
      </c>
      <c r="N2717" t="str">
        <f>"248030302513"</f>
        <v>248030302513</v>
      </c>
      <c r="O2717" t="str">
        <f>"460003199302213825"</f>
        <v>460003199302213825</v>
      </c>
    </row>
    <row r="2718" customFormat="1" spans="1:15">
      <c r="A2718">
        <v>3653</v>
      </c>
      <c r="B2718" t="s">
        <v>3323</v>
      </c>
      <c r="C2718" t="str">
        <f>"460006199101210029"</f>
        <v>460006199101210029</v>
      </c>
      <c r="D2718" t="str">
        <f>"248030402902"</f>
        <v>248030402902</v>
      </c>
      <c r="L2718">
        <v>3653</v>
      </c>
      <c r="M2718" t="s">
        <v>3323</v>
      </c>
      <c r="N2718" t="str">
        <f>"248030402902"</f>
        <v>248030402902</v>
      </c>
      <c r="O2718" t="str">
        <f>"460006199101210029"</f>
        <v>460006199101210029</v>
      </c>
    </row>
    <row r="2719" customFormat="1" spans="1:15">
      <c r="A2719">
        <v>3654</v>
      </c>
      <c r="B2719" t="s">
        <v>3324</v>
      </c>
      <c r="C2719" t="str">
        <f>"460006199708154043"</f>
        <v>460006199708154043</v>
      </c>
      <c r="D2719" t="str">
        <f>"248030104205"</f>
        <v>248030104205</v>
      </c>
      <c r="L2719">
        <v>3654</v>
      </c>
      <c r="M2719" t="s">
        <v>3324</v>
      </c>
      <c r="N2719" t="str">
        <f>"248030104205"</f>
        <v>248030104205</v>
      </c>
      <c r="O2719" t="str">
        <f>"460006199708154043"</f>
        <v>460006199708154043</v>
      </c>
    </row>
    <row r="2720" customFormat="1" spans="1:15">
      <c r="A2720">
        <v>3656</v>
      </c>
      <c r="B2720" t="s">
        <v>3325</v>
      </c>
      <c r="C2720" t="str">
        <f>"460027199108034744"</f>
        <v>460027199108034744</v>
      </c>
      <c r="D2720" t="str">
        <f>"248030301201"</f>
        <v>248030301201</v>
      </c>
      <c r="L2720">
        <v>3656</v>
      </c>
      <c r="M2720" t="s">
        <v>3325</v>
      </c>
      <c r="N2720" t="str">
        <f>"248030301201"</f>
        <v>248030301201</v>
      </c>
      <c r="O2720" t="str">
        <f>"460027199108034744"</f>
        <v>460027199108034744</v>
      </c>
    </row>
    <row r="2721" customFormat="1" spans="1:15">
      <c r="A2721">
        <v>3657</v>
      </c>
      <c r="B2721" t="s">
        <v>3326</v>
      </c>
      <c r="C2721" t="str">
        <f>"460004199405260620"</f>
        <v>460004199405260620</v>
      </c>
      <c r="D2721" t="str">
        <f>"248030104518"</f>
        <v>248030104518</v>
      </c>
      <c r="L2721">
        <v>3657</v>
      </c>
      <c r="M2721" t="s">
        <v>3326</v>
      </c>
      <c r="N2721" t="str">
        <f>"248030104518"</f>
        <v>248030104518</v>
      </c>
      <c r="O2721" t="str">
        <f>"460004199405260620"</f>
        <v>460004199405260620</v>
      </c>
    </row>
    <row r="2722" customFormat="1" spans="1:15">
      <c r="A2722">
        <v>3660</v>
      </c>
      <c r="B2722" t="s">
        <v>3327</v>
      </c>
      <c r="C2722" t="str">
        <f>"460004198604054657"</f>
        <v>460004198604054657</v>
      </c>
      <c r="D2722" t="str">
        <f>"248030202007"</f>
        <v>248030202007</v>
      </c>
      <c r="L2722">
        <v>3660</v>
      </c>
      <c r="M2722" t="s">
        <v>3327</v>
      </c>
      <c r="N2722" t="str">
        <f>"248030202007"</f>
        <v>248030202007</v>
      </c>
      <c r="O2722" t="str">
        <f>"460004198604054657"</f>
        <v>460004198604054657</v>
      </c>
    </row>
    <row r="2723" customFormat="1" spans="1:15">
      <c r="A2723">
        <v>3661</v>
      </c>
      <c r="B2723" t="s">
        <v>3328</v>
      </c>
      <c r="C2723" t="str">
        <f>"460026199601085143"</f>
        <v>460026199601085143</v>
      </c>
      <c r="D2723" t="str">
        <f>"248030200329"</f>
        <v>248030200329</v>
      </c>
      <c r="L2723">
        <v>3661</v>
      </c>
      <c r="M2723" t="s">
        <v>3328</v>
      </c>
      <c r="N2723" t="str">
        <f>"248030200329"</f>
        <v>248030200329</v>
      </c>
      <c r="O2723" t="str">
        <f>"460026199601085143"</f>
        <v>460026199601085143</v>
      </c>
    </row>
    <row r="2724" customFormat="1" spans="1:15">
      <c r="A2724">
        <v>3663</v>
      </c>
      <c r="B2724" t="s">
        <v>3329</v>
      </c>
      <c r="C2724" t="str">
        <f>"412701199405041518"</f>
        <v>412701199405041518</v>
      </c>
      <c r="D2724" t="str">
        <f>"248030105017"</f>
        <v>248030105017</v>
      </c>
      <c r="L2724">
        <v>3663</v>
      </c>
      <c r="M2724" t="s">
        <v>3329</v>
      </c>
      <c r="N2724" t="str">
        <f>"248030105017"</f>
        <v>248030105017</v>
      </c>
      <c r="O2724" t="str">
        <f>"412701199405041518"</f>
        <v>412701199405041518</v>
      </c>
    </row>
    <row r="2725" customFormat="1" spans="1:15">
      <c r="A2725">
        <v>3664</v>
      </c>
      <c r="B2725" t="s">
        <v>3330</v>
      </c>
      <c r="C2725" t="str">
        <f>"46010219860104152X"</f>
        <v>46010219860104152X</v>
      </c>
      <c r="D2725" t="str">
        <f>"248030300327"</f>
        <v>248030300327</v>
      </c>
      <c r="L2725">
        <v>3664</v>
      </c>
      <c r="M2725" t="s">
        <v>3330</v>
      </c>
      <c r="N2725" t="str">
        <f>"248030300327"</f>
        <v>248030300327</v>
      </c>
      <c r="O2725" t="str">
        <f>"46010219860104152X"</f>
        <v>46010219860104152X</v>
      </c>
    </row>
    <row r="2726" customFormat="1" spans="1:15">
      <c r="A2726">
        <v>3665</v>
      </c>
      <c r="B2726" t="s">
        <v>690</v>
      </c>
      <c r="C2726" t="str">
        <f>"460025199608230028"</f>
        <v>460025199608230028</v>
      </c>
      <c r="D2726" t="str">
        <f>"248030203613"</f>
        <v>248030203613</v>
      </c>
      <c r="L2726">
        <v>3665</v>
      </c>
      <c r="M2726" t="s">
        <v>690</v>
      </c>
      <c r="N2726" t="str">
        <f>"248030203613"</f>
        <v>248030203613</v>
      </c>
      <c r="O2726" t="str">
        <f>"460025199608230028"</f>
        <v>460025199608230028</v>
      </c>
    </row>
    <row r="2727" customFormat="1" spans="1:15">
      <c r="A2727">
        <v>3666</v>
      </c>
      <c r="B2727" t="s">
        <v>3331</v>
      </c>
      <c r="C2727" t="str">
        <f>"46000319951223742X"</f>
        <v>46000319951223742X</v>
      </c>
      <c r="D2727" t="str">
        <f>"248030104525"</f>
        <v>248030104525</v>
      </c>
      <c r="L2727">
        <v>3666</v>
      </c>
      <c r="M2727" t="s">
        <v>3331</v>
      </c>
      <c r="N2727" t="str">
        <f>"248030104525"</f>
        <v>248030104525</v>
      </c>
      <c r="O2727" t="str">
        <f>"46000319951223742X"</f>
        <v>46000319951223742X</v>
      </c>
    </row>
    <row r="2728" customFormat="1" spans="1:15">
      <c r="A2728">
        <v>3667</v>
      </c>
      <c r="B2728" t="s">
        <v>3332</v>
      </c>
      <c r="C2728" t="str">
        <f>"460007199708023648"</f>
        <v>460007199708023648</v>
      </c>
      <c r="D2728" t="str">
        <f>"248030503026"</f>
        <v>248030503026</v>
      </c>
      <c r="L2728">
        <v>3667</v>
      </c>
      <c r="M2728" t="s">
        <v>3332</v>
      </c>
      <c r="N2728" t="str">
        <f>"248030503026"</f>
        <v>248030503026</v>
      </c>
      <c r="O2728" t="str">
        <f>"460007199708023648"</f>
        <v>460007199708023648</v>
      </c>
    </row>
    <row r="2729" customFormat="1" spans="1:15">
      <c r="A2729">
        <v>3668</v>
      </c>
      <c r="B2729" t="s">
        <v>3333</v>
      </c>
      <c r="C2729" t="str">
        <f>"410923199201193023"</f>
        <v>410923199201193023</v>
      </c>
      <c r="L2729">
        <v>3668</v>
      </c>
      <c r="M2729" t="s">
        <v>3333</v>
      </c>
      <c r="O2729" t="str">
        <f>"410923199201193023"</f>
        <v>410923199201193023</v>
      </c>
    </row>
    <row r="2730" customFormat="1" spans="1:15">
      <c r="A2730">
        <v>3669</v>
      </c>
      <c r="B2730" t="s">
        <v>3334</v>
      </c>
      <c r="C2730" t="str">
        <f>"460003199807153223"</f>
        <v>460003199807153223</v>
      </c>
      <c r="D2730" t="str">
        <f>"248030302013"</f>
        <v>248030302013</v>
      </c>
      <c r="L2730">
        <v>3669</v>
      </c>
      <c r="M2730" t="s">
        <v>3334</v>
      </c>
      <c r="N2730" t="str">
        <f>"248030302013"</f>
        <v>248030302013</v>
      </c>
      <c r="O2730" t="str">
        <f>"460003199807153223"</f>
        <v>460003199807153223</v>
      </c>
    </row>
    <row r="2731" customFormat="1" spans="1:15">
      <c r="A2731">
        <v>3670</v>
      </c>
      <c r="B2731" t="s">
        <v>3335</v>
      </c>
      <c r="C2731" t="str">
        <f>"460004199711262624"</f>
        <v>460004199711262624</v>
      </c>
      <c r="D2731" t="str">
        <f>"248030500213"</f>
        <v>248030500213</v>
      </c>
      <c r="L2731">
        <v>3670</v>
      </c>
      <c r="M2731" t="s">
        <v>3335</v>
      </c>
      <c r="N2731" t="str">
        <f>"248030500213"</f>
        <v>248030500213</v>
      </c>
      <c r="O2731" t="str">
        <f>"460004199711262624"</f>
        <v>460004199711262624</v>
      </c>
    </row>
    <row r="2732" customFormat="1" spans="1:15">
      <c r="A2732">
        <v>3671</v>
      </c>
      <c r="B2732" t="s">
        <v>1804</v>
      </c>
      <c r="C2732" t="str">
        <f>"230102198505252623"</f>
        <v>230102198505252623</v>
      </c>
      <c r="D2732" t="str">
        <f>"248030502517"</f>
        <v>248030502517</v>
      </c>
      <c r="L2732">
        <v>3671</v>
      </c>
      <c r="M2732" t="s">
        <v>1804</v>
      </c>
      <c r="N2732" t="str">
        <f>"248030502517"</f>
        <v>248030502517</v>
      </c>
      <c r="O2732" t="str">
        <f>"230102198505252623"</f>
        <v>230102198505252623</v>
      </c>
    </row>
    <row r="2733" customFormat="1" spans="1:15">
      <c r="A2733">
        <v>3672</v>
      </c>
      <c r="B2733" t="s">
        <v>3336</v>
      </c>
      <c r="C2733" t="str">
        <f>"230104199706142225"</f>
        <v>230104199706142225</v>
      </c>
      <c r="D2733" t="str">
        <f>"248030503602"</f>
        <v>248030503602</v>
      </c>
      <c r="L2733">
        <v>3672</v>
      </c>
      <c r="M2733" t="s">
        <v>3336</v>
      </c>
      <c r="N2733" t="str">
        <f>"248030503602"</f>
        <v>248030503602</v>
      </c>
      <c r="O2733" t="str">
        <f>"230104199706142225"</f>
        <v>230104199706142225</v>
      </c>
    </row>
    <row r="2734" customFormat="1" spans="1:15">
      <c r="A2734">
        <v>3674</v>
      </c>
      <c r="B2734" t="s">
        <v>3337</v>
      </c>
      <c r="C2734" t="str">
        <f>"460105200104087526"</f>
        <v>460105200104087526</v>
      </c>
      <c r="D2734" t="str">
        <f>"248030101323"</f>
        <v>248030101323</v>
      </c>
      <c r="L2734">
        <v>3674</v>
      </c>
      <c r="M2734" t="s">
        <v>3337</v>
      </c>
      <c r="N2734" t="str">
        <f>"248030101323"</f>
        <v>248030101323</v>
      </c>
      <c r="O2734" t="str">
        <f>"460105200104087526"</f>
        <v>460105200104087526</v>
      </c>
    </row>
    <row r="2735" customFormat="1" spans="1:15">
      <c r="A2735">
        <v>3675</v>
      </c>
      <c r="B2735" t="s">
        <v>3338</v>
      </c>
      <c r="C2735" t="str">
        <f>"460004200005183422"</f>
        <v>460004200005183422</v>
      </c>
      <c r="D2735" t="str">
        <f>"248030203630"</f>
        <v>248030203630</v>
      </c>
      <c r="L2735">
        <v>3675</v>
      </c>
      <c r="M2735" t="s">
        <v>3338</v>
      </c>
      <c r="N2735" t="str">
        <f>"248030203630"</f>
        <v>248030203630</v>
      </c>
      <c r="O2735" t="str">
        <f>"460004200005183422"</f>
        <v>460004200005183422</v>
      </c>
    </row>
    <row r="2736" customFormat="1" spans="1:15">
      <c r="A2736">
        <v>3676</v>
      </c>
      <c r="B2736" t="s">
        <v>3339</v>
      </c>
      <c r="C2736" t="str">
        <f>"469003199508187026"</f>
        <v>469003199508187026</v>
      </c>
      <c r="D2736" t="str">
        <f>"248030500629"</f>
        <v>248030500629</v>
      </c>
      <c r="L2736">
        <v>3676</v>
      </c>
      <c r="M2736" t="s">
        <v>3339</v>
      </c>
      <c r="N2736" t="str">
        <f>"248030500629"</f>
        <v>248030500629</v>
      </c>
      <c r="O2736" t="str">
        <f>"469003199508187026"</f>
        <v>469003199508187026</v>
      </c>
    </row>
    <row r="2737" customFormat="1" spans="1:15">
      <c r="A2737">
        <v>3679</v>
      </c>
      <c r="B2737" t="s">
        <v>3340</v>
      </c>
      <c r="C2737" t="str">
        <f>"469021199508170921"</f>
        <v>469021199508170921</v>
      </c>
      <c r="D2737" t="str">
        <f>"248030503830"</f>
        <v>248030503830</v>
      </c>
      <c r="L2737">
        <v>3679</v>
      </c>
      <c r="M2737" t="s">
        <v>3340</v>
      </c>
      <c r="N2737" t="str">
        <f>"248030503830"</f>
        <v>248030503830</v>
      </c>
      <c r="O2737" t="str">
        <f>"469021199508170921"</f>
        <v>469021199508170921</v>
      </c>
    </row>
    <row r="2738" customFormat="1" spans="1:15">
      <c r="A2738">
        <v>3680</v>
      </c>
      <c r="B2738" t="s">
        <v>3341</v>
      </c>
      <c r="C2738" t="str">
        <f>"460028199508304420"</f>
        <v>460028199508304420</v>
      </c>
      <c r="D2738" t="str">
        <f>"248030300102"</f>
        <v>248030300102</v>
      </c>
      <c r="L2738">
        <v>3680</v>
      </c>
      <c r="M2738" t="s">
        <v>3341</v>
      </c>
      <c r="N2738" t="str">
        <f>"248030300102"</f>
        <v>248030300102</v>
      </c>
      <c r="O2738" t="str">
        <f>"460028199508304420"</f>
        <v>460028199508304420</v>
      </c>
    </row>
    <row r="2739" customFormat="1" spans="1:15">
      <c r="A2739">
        <v>3681</v>
      </c>
      <c r="B2739" t="s">
        <v>3342</v>
      </c>
      <c r="C2739" t="str">
        <f>"430223199209237241"</f>
        <v>430223199209237241</v>
      </c>
      <c r="D2739" t="str">
        <f>"248030203316"</f>
        <v>248030203316</v>
      </c>
      <c r="L2739">
        <v>3681</v>
      </c>
      <c r="M2739" t="s">
        <v>3342</v>
      </c>
      <c r="N2739" t="str">
        <f>"248030203316"</f>
        <v>248030203316</v>
      </c>
      <c r="O2739" t="str">
        <f>"430223199209237241"</f>
        <v>430223199209237241</v>
      </c>
    </row>
    <row r="2740" customFormat="1" spans="1:15">
      <c r="A2740">
        <v>3683</v>
      </c>
      <c r="B2740" t="s">
        <v>3343</v>
      </c>
      <c r="C2740" t="str">
        <f>"140511199703231912"</f>
        <v>140511199703231912</v>
      </c>
      <c r="D2740" t="str">
        <f>"248030201811"</f>
        <v>248030201811</v>
      </c>
      <c r="L2740">
        <v>3683</v>
      </c>
      <c r="M2740" t="s">
        <v>3343</v>
      </c>
      <c r="N2740" t="str">
        <f>"248030201811"</f>
        <v>248030201811</v>
      </c>
      <c r="O2740" t="str">
        <f>"140511199703231912"</f>
        <v>140511199703231912</v>
      </c>
    </row>
    <row r="2741" customFormat="1" spans="1:15">
      <c r="A2741">
        <v>3686</v>
      </c>
      <c r="B2741" t="s">
        <v>95</v>
      </c>
      <c r="C2741" t="str">
        <f>"460003199310262643"</f>
        <v>460003199310262643</v>
      </c>
      <c r="D2741" t="str">
        <f>"248030501908"</f>
        <v>248030501908</v>
      </c>
      <c r="L2741">
        <v>3686</v>
      </c>
      <c r="M2741" t="s">
        <v>95</v>
      </c>
      <c r="N2741" t="str">
        <f>"248030501908"</f>
        <v>248030501908</v>
      </c>
      <c r="O2741" t="str">
        <f>"460003199310262643"</f>
        <v>460003199310262643</v>
      </c>
    </row>
    <row r="2742" customFormat="1" spans="1:15">
      <c r="A2742">
        <v>3687</v>
      </c>
      <c r="B2742" t="s">
        <v>3344</v>
      </c>
      <c r="C2742" t="str">
        <f>"46020019950129333X"</f>
        <v>46020019950129333X</v>
      </c>
      <c r="D2742" t="str">
        <f>"248030201509"</f>
        <v>248030201509</v>
      </c>
      <c r="L2742">
        <v>3687</v>
      </c>
      <c r="M2742" t="s">
        <v>3344</v>
      </c>
      <c r="N2742" t="str">
        <f>"248030201509"</f>
        <v>248030201509</v>
      </c>
      <c r="O2742" t="str">
        <f>"46020019950129333X"</f>
        <v>46020019950129333X</v>
      </c>
    </row>
    <row r="2743" customFormat="1" spans="1:15">
      <c r="A2743">
        <v>3688</v>
      </c>
      <c r="B2743" t="s">
        <v>3345</v>
      </c>
      <c r="C2743" t="str">
        <f>"460004199508243428"</f>
        <v>460004199508243428</v>
      </c>
      <c r="L2743">
        <v>3688</v>
      </c>
      <c r="M2743" t="s">
        <v>3345</v>
      </c>
      <c r="O2743" t="str">
        <f>"460004199508243428"</f>
        <v>460004199508243428</v>
      </c>
    </row>
    <row r="2744" customFormat="1" spans="1:15">
      <c r="A2744">
        <v>3689</v>
      </c>
      <c r="B2744" t="s">
        <v>3346</v>
      </c>
      <c r="C2744" t="str">
        <f>"460006199901018123"</f>
        <v>460006199901018123</v>
      </c>
      <c r="D2744" t="str">
        <f>"248030300623"</f>
        <v>248030300623</v>
      </c>
      <c r="L2744">
        <v>3689</v>
      </c>
      <c r="M2744" t="s">
        <v>3346</v>
      </c>
      <c r="N2744" t="str">
        <f>"248030300623"</f>
        <v>248030300623</v>
      </c>
      <c r="O2744" t="str">
        <f>"460006199901018123"</f>
        <v>460006199901018123</v>
      </c>
    </row>
    <row r="2745" customFormat="1" spans="1:15">
      <c r="A2745">
        <v>3692</v>
      </c>
      <c r="B2745" t="s">
        <v>3347</v>
      </c>
      <c r="C2745" t="str">
        <f>"430523199312093561"</f>
        <v>430523199312093561</v>
      </c>
      <c r="D2745" t="str">
        <f>"248030202805"</f>
        <v>248030202805</v>
      </c>
      <c r="L2745">
        <v>3692</v>
      </c>
      <c r="M2745" t="s">
        <v>3347</v>
      </c>
      <c r="N2745" t="str">
        <f>"248030202805"</f>
        <v>248030202805</v>
      </c>
      <c r="O2745" t="str">
        <f>"430523199312093561"</f>
        <v>430523199312093561</v>
      </c>
    </row>
    <row r="2746" customFormat="1" spans="1:15">
      <c r="A2746">
        <v>3693</v>
      </c>
      <c r="B2746" t="s">
        <v>3348</v>
      </c>
      <c r="C2746" t="str">
        <f>"460006199311300049"</f>
        <v>460006199311300049</v>
      </c>
      <c r="L2746">
        <v>3693</v>
      </c>
      <c r="M2746" t="s">
        <v>3348</v>
      </c>
      <c r="O2746" t="str">
        <f>"460006199311300049"</f>
        <v>460006199311300049</v>
      </c>
    </row>
    <row r="2747" customFormat="1" spans="1:15">
      <c r="A2747">
        <v>3694</v>
      </c>
      <c r="B2747" t="s">
        <v>3349</v>
      </c>
      <c r="C2747" t="str">
        <f>"460107199804021410"</f>
        <v>460107199804021410</v>
      </c>
      <c r="D2747" t="str">
        <f>"248030201926"</f>
        <v>248030201926</v>
      </c>
      <c r="L2747">
        <v>3694</v>
      </c>
      <c r="M2747" t="s">
        <v>3349</v>
      </c>
      <c r="N2747" t="str">
        <f>"248030201926"</f>
        <v>248030201926</v>
      </c>
      <c r="O2747" t="str">
        <f>"460107199804021410"</f>
        <v>460107199804021410</v>
      </c>
    </row>
    <row r="2748" customFormat="1" spans="1:15">
      <c r="A2748">
        <v>3695</v>
      </c>
      <c r="B2748" t="s">
        <v>3350</v>
      </c>
      <c r="C2748" t="str">
        <f>"460006199510127824"</f>
        <v>460006199510127824</v>
      </c>
      <c r="L2748">
        <v>3695</v>
      </c>
      <c r="M2748" t="s">
        <v>3350</v>
      </c>
      <c r="O2748" t="str">
        <f>"460006199510127824"</f>
        <v>460006199510127824</v>
      </c>
    </row>
    <row r="2749" customFormat="1" spans="1:15">
      <c r="A2749">
        <v>3697</v>
      </c>
      <c r="B2749" t="s">
        <v>3351</v>
      </c>
      <c r="C2749" t="str">
        <f>"460006199204220668"</f>
        <v>460006199204220668</v>
      </c>
      <c r="D2749" t="str">
        <f>"248030200523"</f>
        <v>248030200523</v>
      </c>
      <c r="L2749">
        <v>3697</v>
      </c>
      <c r="M2749" t="s">
        <v>3351</v>
      </c>
      <c r="N2749" t="str">
        <f>"248030200523"</f>
        <v>248030200523</v>
      </c>
      <c r="O2749" t="str">
        <f>"460006199204220668"</f>
        <v>460006199204220668</v>
      </c>
    </row>
    <row r="2750" customFormat="1" spans="1:15">
      <c r="A2750">
        <v>3698</v>
      </c>
      <c r="B2750" t="s">
        <v>3352</v>
      </c>
      <c r="C2750" t="str">
        <f>"460002199906194913"</f>
        <v>460002199906194913</v>
      </c>
      <c r="D2750" t="str">
        <f>"248030101017"</f>
        <v>248030101017</v>
      </c>
      <c r="L2750">
        <v>3698</v>
      </c>
      <c r="M2750" t="s">
        <v>3352</v>
      </c>
      <c r="N2750" t="str">
        <f>"248030101017"</f>
        <v>248030101017</v>
      </c>
      <c r="O2750" t="str">
        <f>"460002199906194913"</f>
        <v>460002199906194913</v>
      </c>
    </row>
    <row r="2751" customFormat="1" spans="1:15">
      <c r="A2751">
        <v>3700</v>
      </c>
      <c r="B2751" t="s">
        <v>3353</v>
      </c>
      <c r="C2751" t="str">
        <f>"460103199411063016"</f>
        <v>460103199411063016</v>
      </c>
      <c r="D2751" t="str">
        <f>"248030402303"</f>
        <v>248030402303</v>
      </c>
      <c r="L2751">
        <v>3700</v>
      </c>
      <c r="M2751" t="s">
        <v>3353</v>
      </c>
      <c r="N2751" t="str">
        <f>"248030402303"</f>
        <v>248030402303</v>
      </c>
      <c r="O2751" t="str">
        <f>"460103199411063016"</f>
        <v>460103199411063016</v>
      </c>
    </row>
    <row r="2752" customFormat="1" spans="1:15">
      <c r="A2752">
        <v>3702</v>
      </c>
      <c r="B2752" t="s">
        <v>3354</v>
      </c>
      <c r="C2752" t="str">
        <f>"460003199604305629"</f>
        <v>460003199604305629</v>
      </c>
      <c r="D2752" t="str">
        <f>"248030403308"</f>
        <v>248030403308</v>
      </c>
      <c r="L2752">
        <v>3702</v>
      </c>
      <c r="M2752" t="s">
        <v>3354</v>
      </c>
      <c r="N2752" t="str">
        <f>"248030403308"</f>
        <v>248030403308</v>
      </c>
      <c r="O2752" t="str">
        <f>"460003199604305629"</f>
        <v>460003199604305629</v>
      </c>
    </row>
    <row r="2753" customFormat="1" spans="1:15">
      <c r="A2753">
        <v>3703</v>
      </c>
      <c r="B2753" t="s">
        <v>3355</v>
      </c>
      <c r="C2753" t="str">
        <f>"460030199908116623"</f>
        <v>460030199908116623</v>
      </c>
      <c r="D2753" t="str">
        <f>"248030104022"</f>
        <v>248030104022</v>
      </c>
      <c r="L2753">
        <v>3703</v>
      </c>
      <c r="M2753" t="s">
        <v>3355</v>
      </c>
      <c r="N2753" t="str">
        <f>"248030104022"</f>
        <v>248030104022</v>
      </c>
      <c r="O2753" t="str">
        <f>"460030199908116623"</f>
        <v>460030199908116623</v>
      </c>
    </row>
    <row r="2754" customFormat="1" spans="1:15">
      <c r="A2754">
        <v>3704</v>
      </c>
      <c r="B2754" t="s">
        <v>161</v>
      </c>
      <c r="C2754" t="str">
        <f>"460003200001102019"</f>
        <v>460003200001102019</v>
      </c>
      <c r="D2754" t="str">
        <f>"248030201523"</f>
        <v>248030201523</v>
      </c>
      <c r="L2754">
        <v>3704</v>
      </c>
      <c r="M2754" t="s">
        <v>161</v>
      </c>
      <c r="N2754" t="str">
        <f>"248030201523"</f>
        <v>248030201523</v>
      </c>
      <c r="O2754" t="str">
        <f>"460003200001102019"</f>
        <v>460003200001102019</v>
      </c>
    </row>
    <row r="2755" customFormat="1" spans="1:15">
      <c r="A2755">
        <v>3705</v>
      </c>
      <c r="B2755" t="s">
        <v>3356</v>
      </c>
      <c r="C2755" t="str">
        <f>"130105200105042454"</f>
        <v>130105200105042454</v>
      </c>
      <c r="D2755" t="str">
        <f>"248030103429"</f>
        <v>248030103429</v>
      </c>
      <c r="L2755">
        <v>3705</v>
      </c>
      <c r="M2755" t="s">
        <v>3356</v>
      </c>
      <c r="N2755" t="str">
        <f>"248030103429"</f>
        <v>248030103429</v>
      </c>
      <c r="O2755" t="str">
        <f>"130105200105042454"</f>
        <v>130105200105042454</v>
      </c>
    </row>
    <row r="2756" customFormat="1" spans="1:15">
      <c r="A2756">
        <v>3706</v>
      </c>
      <c r="B2756" t="s">
        <v>3357</v>
      </c>
      <c r="C2756" t="str">
        <f>"460007199811280028"</f>
        <v>460007199811280028</v>
      </c>
      <c r="D2756" t="str">
        <f>"248030402305"</f>
        <v>248030402305</v>
      </c>
      <c r="L2756">
        <v>3706</v>
      </c>
      <c r="M2756" t="s">
        <v>3357</v>
      </c>
      <c r="N2756" t="str">
        <f>"248030402305"</f>
        <v>248030402305</v>
      </c>
      <c r="O2756" t="str">
        <f>"460007199811280028"</f>
        <v>460007199811280028</v>
      </c>
    </row>
    <row r="2757" customFormat="1" spans="1:15">
      <c r="A2757">
        <v>3707</v>
      </c>
      <c r="B2757" t="s">
        <v>3358</v>
      </c>
      <c r="C2757" t="str">
        <f>"460025200003181812"</f>
        <v>460025200003181812</v>
      </c>
      <c r="D2757" t="str">
        <f>"248030201313"</f>
        <v>248030201313</v>
      </c>
      <c r="L2757">
        <v>3707</v>
      </c>
      <c r="M2757" t="s">
        <v>3358</v>
      </c>
      <c r="N2757" t="str">
        <f>"248030201313"</f>
        <v>248030201313</v>
      </c>
      <c r="O2757" t="str">
        <f>"460025200003181812"</f>
        <v>460025200003181812</v>
      </c>
    </row>
    <row r="2758" customFormat="1" spans="1:15">
      <c r="A2758">
        <v>3709</v>
      </c>
      <c r="B2758" t="s">
        <v>1651</v>
      </c>
      <c r="C2758" t="str">
        <f>"460003199911016229"</f>
        <v>460003199911016229</v>
      </c>
      <c r="D2758" t="str">
        <f>"248030502015"</f>
        <v>248030502015</v>
      </c>
      <c r="L2758">
        <v>3709</v>
      </c>
      <c r="M2758" t="s">
        <v>1651</v>
      </c>
      <c r="N2758" t="str">
        <f>"248030502015"</f>
        <v>248030502015</v>
      </c>
      <c r="O2758" t="str">
        <f>"460003199911016229"</f>
        <v>460003199911016229</v>
      </c>
    </row>
    <row r="2759" customFormat="1" spans="1:15">
      <c r="A2759">
        <v>3710</v>
      </c>
      <c r="B2759" t="s">
        <v>3359</v>
      </c>
      <c r="C2759" t="str">
        <f>"460003199803043027"</f>
        <v>460003199803043027</v>
      </c>
      <c r="L2759">
        <v>3710</v>
      </c>
      <c r="M2759" t="s">
        <v>3359</v>
      </c>
      <c r="O2759" t="str">
        <f>"460003199803043027"</f>
        <v>460003199803043027</v>
      </c>
    </row>
    <row r="2760" customFormat="1" spans="1:15">
      <c r="A2760">
        <v>3711</v>
      </c>
      <c r="B2760" t="s">
        <v>3360</v>
      </c>
      <c r="C2760" t="str">
        <f>"460004199702233223"</f>
        <v>460004199702233223</v>
      </c>
      <c r="D2760" t="str">
        <f>"248030500207"</f>
        <v>248030500207</v>
      </c>
      <c r="L2760">
        <v>3711</v>
      </c>
      <c r="M2760" t="s">
        <v>3360</v>
      </c>
      <c r="N2760" t="str">
        <f>"248030500207"</f>
        <v>248030500207</v>
      </c>
      <c r="O2760" t="str">
        <f>"460004199702233223"</f>
        <v>460004199702233223</v>
      </c>
    </row>
    <row r="2761" customFormat="1" spans="1:15">
      <c r="A2761">
        <v>3712</v>
      </c>
      <c r="B2761" t="s">
        <v>3361</v>
      </c>
      <c r="C2761" t="str">
        <f>"460004199307083480"</f>
        <v>460004199307083480</v>
      </c>
      <c r="D2761" t="str">
        <f>"248030200323"</f>
        <v>248030200323</v>
      </c>
      <c r="L2761">
        <v>3712</v>
      </c>
      <c r="M2761" t="s">
        <v>3361</v>
      </c>
      <c r="N2761" t="str">
        <f>"248030200323"</f>
        <v>248030200323</v>
      </c>
      <c r="O2761" t="str">
        <f>"460004199307083480"</f>
        <v>460004199307083480</v>
      </c>
    </row>
    <row r="2762" customFormat="1" spans="1:15">
      <c r="A2762">
        <v>3714</v>
      </c>
      <c r="B2762" t="s">
        <v>3362</v>
      </c>
      <c r="C2762" t="str">
        <f>"460003199805063021"</f>
        <v>460003199805063021</v>
      </c>
      <c r="D2762" t="str">
        <f>"248030401730"</f>
        <v>248030401730</v>
      </c>
      <c r="L2762">
        <v>3714</v>
      </c>
      <c r="M2762" t="s">
        <v>3362</v>
      </c>
      <c r="N2762" t="str">
        <f>"248030401730"</f>
        <v>248030401730</v>
      </c>
      <c r="O2762" t="str">
        <f>"460003199805063021"</f>
        <v>460003199805063021</v>
      </c>
    </row>
    <row r="2763" customFormat="1" spans="1:15">
      <c r="A2763">
        <v>3715</v>
      </c>
      <c r="B2763" t="s">
        <v>3363</v>
      </c>
      <c r="C2763" t="str">
        <f>"460004198609082067"</f>
        <v>460004198609082067</v>
      </c>
      <c r="L2763">
        <v>3715</v>
      </c>
      <c r="M2763" t="s">
        <v>3363</v>
      </c>
      <c r="O2763" t="str">
        <f>"460004198609082067"</f>
        <v>460004198609082067</v>
      </c>
    </row>
    <row r="2764" customFormat="1" spans="1:15">
      <c r="A2764">
        <v>3717</v>
      </c>
      <c r="B2764" t="s">
        <v>3364</v>
      </c>
      <c r="C2764" t="str">
        <f>"460003199603093265"</f>
        <v>460003199603093265</v>
      </c>
      <c r="D2764" t="str">
        <f>"248030401502"</f>
        <v>248030401502</v>
      </c>
      <c r="L2764">
        <v>3717</v>
      </c>
      <c r="M2764" t="s">
        <v>3364</v>
      </c>
      <c r="N2764" t="str">
        <f>"248030401502"</f>
        <v>248030401502</v>
      </c>
      <c r="O2764" t="str">
        <f>"460003199603093265"</f>
        <v>460003199603093265</v>
      </c>
    </row>
    <row r="2765" customFormat="1" spans="1:15">
      <c r="A2765">
        <v>3718</v>
      </c>
      <c r="B2765" t="s">
        <v>3365</v>
      </c>
      <c r="C2765" t="str">
        <f>"44022419970214002X"</f>
        <v>44022419970214002X</v>
      </c>
      <c r="D2765" t="str">
        <f>"248030102411"</f>
        <v>248030102411</v>
      </c>
      <c r="L2765">
        <v>3718</v>
      </c>
      <c r="M2765" t="s">
        <v>3365</v>
      </c>
      <c r="N2765" t="str">
        <f>"248030102411"</f>
        <v>248030102411</v>
      </c>
      <c r="O2765" t="str">
        <f>"44022419970214002X"</f>
        <v>44022419970214002X</v>
      </c>
    </row>
    <row r="2766" customFormat="1" spans="1:15">
      <c r="A2766">
        <v>3719</v>
      </c>
      <c r="B2766" t="s">
        <v>3366</v>
      </c>
      <c r="C2766" t="str">
        <f>"460026200004021227"</f>
        <v>460026200004021227</v>
      </c>
      <c r="L2766">
        <v>3719</v>
      </c>
      <c r="M2766" t="s">
        <v>3366</v>
      </c>
      <c r="O2766" t="str">
        <f>"460026200004021227"</f>
        <v>460026200004021227</v>
      </c>
    </row>
    <row r="2767" customFormat="1" spans="1:15">
      <c r="A2767">
        <v>3720</v>
      </c>
      <c r="B2767" t="s">
        <v>3367</v>
      </c>
      <c r="C2767" t="str">
        <f>"460026200106270320"</f>
        <v>460026200106270320</v>
      </c>
      <c r="D2767" t="str">
        <f>"248030104702"</f>
        <v>248030104702</v>
      </c>
      <c r="L2767">
        <v>3720</v>
      </c>
      <c r="M2767" t="s">
        <v>3367</v>
      </c>
      <c r="N2767" t="str">
        <f>"248030104702"</f>
        <v>248030104702</v>
      </c>
      <c r="O2767" t="str">
        <f>"460026200106270320"</f>
        <v>460026200106270320</v>
      </c>
    </row>
    <row r="2768" customFormat="1" spans="1:15">
      <c r="A2768">
        <v>3721</v>
      </c>
      <c r="B2768" t="s">
        <v>3368</v>
      </c>
      <c r="C2768" t="str">
        <f>"460022199109124539"</f>
        <v>460022199109124539</v>
      </c>
      <c r="D2768" t="str">
        <f>"248030201806"</f>
        <v>248030201806</v>
      </c>
      <c r="L2768">
        <v>3721</v>
      </c>
      <c r="M2768" t="s">
        <v>3368</v>
      </c>
      <c r="N2768" t="str">
        <f>"248030201806"</f>
        <v>248030201806</v>
      </c>
      <c r="O2768" t="str">
        <f>"460022199109124539"</f>
        <v>460022199109124539</v>
      </c>
    </row>
    <row r="2769" customFormat="1" spans="1:15">
      <c r="A2769">
        <v>3723</v>
      </c>
      <c r="B2769" t="s">
        <v>3369</v>
      </c>
      <c r="C2769" t="str">
        <f>"350824199604221820"</f>
        <v>350824199604221820</v>
      </c>
      <c r="D2769" t="str">
        <f>"248030104017"</f>
        <v>248030104017</v>
      </c>
      <c r="L2769">
        <v>3723</v>
      </c>
      <c r="M2769" t="s">
        <v>3369</v>
      </c>
      <c r="N2769" t="str">
        <f>"248030104017"</f>
        <v>248030104017</v>
      </c>
      <c r="O2769" t="str">
        <f>"350824199604221820"</f>
        <v>350824199604221820</v>
      </c>
    </row>
    <row r="2770" customFormat="1" spans="1:15">
      <c r="A2770">
        <v>3724</v>
      </c>
      <c r="B2770" t="s">
        <v>3370</v>
      </c>
      <c r="C2770" t="str">
        <f>"460033200003205087"</f>
        <v>460033200003205087</v>
      </c>
      <c r="D2770" t="str">
        <f>"248030502530"</f>
        <v>248030502530</v>
      </c>
      <c r="L2770">
        <v>3724</v>
      </c>
      <c r="M2770" t="s">
        <v>3370</v>
      </c>
      <c r="N2770" t="str">
        <f>"248030502530"</f>
        <v>248030502530</v>
      </c>
      <c r="O2770" t="str">
        <f>"460033200003205087"</f>
        <v>460033200003205087</v>
      </c>
    </row>
    <row r="2771" customFormat="1" spans="1:15">
      <c r="A2771">
        <v>3725</v>
      </c>
      <c r="B2771" t="s">
        <v>73</v>
      </c>
      <c r="C2771" t="str">
        <f>"469003200101275636"</f>
        <v>469003200101275636</v>
      </c>
      <c r="D2771" t="str">
        <f>"248030201820"</f>
        <v>248030201820</v>
      </c>
      <c r="L2771">
        <v>3725</v>
      </c>
      <c r="M2771" t="s">
        <v>73</v>
      </c>
      <c r="N2771" t="str">
        <f>"248030201820"</f>
        <v>248030201820</v>
      </c>
      <c r="O2771" t="str">
        <f>"469003200101275636"</f>
        <v>469003200101275636</v>
      </c>
    </row>
    <row r="2772" customFormat="1" spans="1:15">
      <c r="A2772">
        <v>3726</v>
      </c>
      <c r="B2772" t="s">
        <v>3371</v>
      </c>
      <c r="C2772" t="str">
        <f>"500106200009272810"</f>
        <v>500106200009272810</v>
      </c>
      <c r="D2772" t="str">
        <f>"248030500108"</f>
        <v>248030500108</v>
      </c>
      <c r="L2772">
        <v>3726</v>
      </c>
      <c r="M2772" t="s">
        <v>3371</v>
      </c>
      <c r="N2772" t="str">
        <f>"248030500108"</f>
        <v>248030500108</v>
      </c>
      <c r="O2772" t="str">
        <f>"500106200009272810"</f>
        <v>500106200009272810</v>
      </c>
    </row>
    <row r="2773" customFormat="1" spans="1:15">
      <c r="A2773">
        <v>3727</v>
      </c>
      <c r="B2773" t="s">
        <v>3372</v>
      </c>
      <c r="C2773" t="str">
        <f>"460004200111210623"</f>
        <v>460004200111210623</v>
      </c>
      <c r="D2773" t="str">
        <f>"248030102513"</f>
        <v>248030102513</v>
      </c>
      <c r="L2773">
        <v>3727</v>
      </c>
      <c r="M2773" t="s">
        <v>3372</v>
      </c>
      <c r="N2773" t="str">
        <f>"248030102513"</f>
        <v>248030102513</v>
      </c>
      <c r="O2773" t="str">
        <f>"460004200111210623"</f>
        <v>460004200111210623</v>
      </c>
    </row>
    <row r="2774" customFormat="1" spans="1:15">
      <c r="A2774">
        <v>3728</v>
      </c>
      <c r="B2774" t="s">
        <v>3373</v>
      </c>
      <c r="C2774" t="str">
        <f>"46003019940206001X"</f>
        <v>46003019940206001X</v>
      </c>
      <c r="D2774" t="str">
        <f>"248030201822"</f>
        <v>248030201822</v>
      </c>
      <c r="L2774">
        <v>3728</v>
      </c>
      <c r="M2774" t="s">
        <v>3373</v>
      </c>
      <c r="N2774" t="str">
        <f>"248030201822"</f>
        <v>248030201822</v>
      </c>
      <c r="O2774" t="str">
        <f>"46003019940206001X"</f>
        <v>46003019940206001X</v>
      </c>
    </row>
    <row r="2775" customFormat="1" spans="1:15">
      <c r="A2775">
        <v>3729</v>
      </c>
      <c r="B2775" t="s">
        <v>3374</v>
      </c>
      <c r="C2775" t="str">
        <f>"469024200105067238"</f>
        <v>469024200105067238</v>
      </c>
      <c r="D2775" t="str">
        <f>"248030301020"</f>
        <v>248030301020</v>
      </c>
      <c r="L2775">
        <v>3729</v>
      </c>
      <c r="M2775" t="s">
        <v>3374</v>
      </c>
      <c r="N2775" t="str">
        <f>"248030301020"</f>
        <v>248030301020</v>
      </c>
      <c r="O2775" t="str">
        <f>"469024200105067238"</f>
        <v>469024200105067238</v>
      </c>
    </row>
    <row r="2776" customFormat="1" spans="1:15">
      <c r="A2776">
        <v>3730</v>
      </c>
      <c r="B2776" t="s">
        <v>3375</v>
      </c>
      <c r="C2776" t="str">
        <f>"460006200104110619"</f>
        <v>460006200104110619</v>
      </c>
      <c r="D2776" t="str">
        <f>"248030301919"</f>
        <v>248030301919</v>
      </c>
      <c r="L2776">
        <v>3730</v>
      </c>
      <c r="M2776" t="s">
        <v>3375</v>
      </c>
      <c r="N2776" t="str">
        <f>"248030301919"</f>
        <v>248030301919</v>
      </c>
      <c r="O2776" t="str">
        <f>"460006200104110619"</f>
        <v>460006200104110619</v>
      </c>
    </row>
    <row r="2777" customFormat="1" spans="1:15">
      <c r="A2777">
        <v>3731</v>
      </c>
      <c r="B2777" t="s">
        <v>3376</v>
      </c>
      <c r="C2777" t="str">
        <f>"460001198901301029"</f>
        <v>460001198901301029</v>
      </c>
      <c r="D2777" t="str">
        <f>"248030503012"</f>
        <v>248030503012</v>
      </c>
      <c r="L2777">
        <v>3731</v>
      </c>
      <c r="M2777" t="s">
        <v>3376</v>
      </c>
      <c r="N2777" t="str">
        <f>"248030503012"</f>
        <v>248030503012</v>
      </c>
      <c r="O2777" t="str">
        <f>"460001198901301029"</f>
        <v>460001198901301029</v>
      </c>
    </row>
    <row r="2778" customFormat="1" spans="1:15">
      <c r="A2778">
        <v>3732</v>
      </c>
      <c r="B2778" t="s">
        <v>3377</v>
      </c>
      <c r="C2778" t="str">
        <f>"460002199510194618"</f>
        <v>460002199510194618</v>
      </c>
      <c r="D2778" t="str">
        <f>"248030201812"</f>
        <v>248030201812</v>
      </c>
      <c r="L2778">
        <v>3732</v>
      </c>
      <c r="M2778" t="s">
        <v>3377</v>
      </c>
      <c r="N2778" t="str">
        <f>"248030201812"</f>
        <v>248030201812</v>
      </c>
      <c r="O2778" t="str">
        <f>"460002199510194618"</f>
        <v>460002199510194618</v>
      </c>
    </row>
    <row r="2779" customFormat="1" spans="1:15">
      <c r="A2779">
        <v>3733</v>
      </c>
      <c r="B2779" t="s">
        <v>3378</v>
      </c>
      <c r="C2779" t="str">
        <f>"460102199505182714"</f>
        <v>460102199505182714</v>
      </c>
      <c r="D2779" t="str">
        <f>"248030201526"</f>
        <v>248030201526</v>
      </c>
      <c r="L2779">
        <v>3733</v>
      </c>
      <c r="M2779" t="s">
        <v>3378</v>
      </c>
      <c r="N2779" t="str">
        <f>"248030201526"</f>
        <v>248030201526</v>
      </c>
      <c r="O2779" t="str">
        <f>"460102199505182714"</f>
        <v>460102199505182714</v>
      </c>
    </row>
    <row r="2780" customFormat="1" spans="1:15">
      <c r="A2780">
        <v>3734</v>
      </c>
      <c r="B2780" t="s">
        <v>3379</v>
      </c>
      <c r="C2780" t="str">
        <f>"460034199612242423"</f>
        <v>460034199612242423</v>
      </c>
      <c r="D2780" t="str">
        <f>"248030403521"</f>
        <v>248030403521</v>
      </c>
      <c r="L2780">
        <v>3734</v>
      </c>
      <c r="M2780" t="s">
        <v>3379</v>
      </c>
      <c r="N2780" t="str">
        <f>"248030403521"</f>
        <v>248030403521</v>
      </c>
      <c r="O2780" t="str">
        <f>"460034199612242423"</f>
        <v>460034199612242423</v>
      </c>
    </row>
    <row r="2781" customFormat="1" spans="1:15">
      <c r="A2781">
        <v>3735</v>
      </c>
      <c r="B2781" t="s">
        <v>3380</v>
      </c>
      <c r="C2781" t="str">
        <f>"460004199212095227"</f>
        <v>460004199212095227</v>
      </c>
      <c r="D2781" t="str">
        <f>"248030104215"</f>
        <v>248030104215</v>
      </c>
      <c r="L2781">
        <v>3735</v>
      </c>
      <c r="M2781" t="s">
        <v>3380</v>
      </c>
      <c r="N2781" t="str">
        <f>"248030104215"</f>
        <v>248030104215</v>
      </c>
      <c r="O2781" t="str">
        <f>"460004199212095227"</f>
        <v>460004199212095227</v>
      </c>
    </row>
    <row r="2782" customFormat="1" spans="1:15">
      <c r="A2782">
        <v>3736</v>
      </c>
      <c r="B2782" t="s">
        <v>3381</v>
      </c>
      <c r="C2782" t="str">
        <f>"460006200112020023"</f>
        <v>460006200112020023</v>
      </c>
      <c r="D2782" t="str">
        <f>"248030103804"</f>
        <v>248030103804</v>
      </c>
      <c r="L2782">
        <v>3736</v>
      </c>
      <c r="M2782" t="s">
        <v>3381</v>
      </c>
      <c r="N2782" t="str">
        <f>"248030103804"</f>
        <v>248030103804</v>
      </c>
      <c r="O2782" t="str">
        <f>"460006200112020023"</f>
        <v>460006200112020023</v>
      </c>
    </row>
    <row r="2783" customFormat="1" spans="1:15">
      <c r="A2783">
        <v>3737</v>
      </c>
      <c r="B2783" t="s">
        <v>3382</v>
      </c>
      <c r="C2783" t="str">
        <f>"460003199503113425"</f>
        <v>460003199503113425</v>
      </c>
      <c r="D2783" t="str">
        <f>"248030501018"</f>
        <v>248030501018</v>
      </c>
      <c r="L2783">
        <v>3737</v>
      </c>
      <c r="M2783" t="s">
        <v>3382</v>
      </c>
      <c r="N2783" t="str">
        <f>"248030501018"</f>
        <v>248030501018</v>
      </c>
      <c r="O2783" t="str">
        <f>"460003199503113425"</f>
        <v>460003199503113425</v>
      </c>
    </row>
    <row r="2784" customFormat="1" spans="1:15">
      <c r="A2784">
        <v>3738</v>
      </c>
      <c r="B2784" t="s">
        <v>3383</v>
      </c>
      <c r="C2784" t="str">
        <f>"460027199308177010"</f>
        <v>460027199308177010</v>
      </c>
      <c r="D2784" t="str">
        <f>"248030201114"</f>
        <v>248030201114</v>
      </c>
      <c r="L2784">
        <v>3738</v>
      </c>
      <c r="M2784" t="s">
        <v>3383</v>
      </c>
      <c r="N2784" t="str">
        <f>"248030201114"</f>
        <v>248030201114</v>
      </c>
      <c r="O2784" t="str">
        <f>"460027199308177010"</f>
        <v>460027199308177010</v>
      </c>
    </row>
    <row r="2785" customFormat="1" spans="1:15">
      <c r="A2785">
        <v>3739</v>
      </c>
      <c r="B2785" t="s">
        <v>3384</v>
      </c>
      <c r="C2785" t="str">
        <f>"460104199205080049"</f>
        <v>460104199205080049</v>
      </c>
      <c r="D2785" t="str">
        <f>"248030501423"</f>
        <v>248030501423</v>
      </c>
      <c r="L2785">
        <v>3739</v>
      </c>
      <c r="M2785" t="s">
        <v>3384</v>
      </c>
      <c r="N2785" t="str">
        <f>"248030501423"</f>
        <v>248030501423</v>
      </c>
      <c r="O2785" t="str">
        <f>"460104199205080049"</f>
        <v>460104199205080049</v>
      </c>
    </row>
    <row r="2786" customFormat="1" spans="1:15">
      <c r="A2786">
        <v>3740</v>
      </c>
      <c r="B2786" t="s">
        <v>3385</v>
      </c>
      <c r="C2786" t="str">
        <f>"460034199410050482"</f>
        <v>460034199410050482</v>
      </c>
      <c r="L2786">
        <v>3740</v>
      </c>
      <c r="M2786" t="s">
        <v>3385</v>
      </c>
      <c r="O2786" t="str">
        <f>"460034199410050482"</f>
        <v>460034199410050482</v>
      </c>
    </row>
    <row r="2787" customFormat="1" spans="1:15">
      <c r="A2787">
        <v>3741</v>
      </c>
      <c r="B2787" t="s">
        <v>191</v>
      </c>
      <c r="C2787" t="str">
        <f>"460033200112093248"</f>
        <v>460033200112093248</v>
      </c>
      <c r="D2787" t="str">
        <f>"248030100907"</f>
        <v>248030100907</v>
      </c>
      <c r="L2787">
        <v>3741</v>
      </c>
      <c r="M2787" t="s">
        <v>191</v>
      </c>
      <c r="N2787" t="str">
        <f>"248030100907"</f>
        <v>248030100907</v>
      </c>
      <c r="O2787" t="str">
        <f>"460033200112093248"</f>
        <v>460033200112093248</v>
      </c>
    </row>
    <row r="2788" customFormat="1" spans="1:15">
      <c r="A2788">
        <v>3742</v>
      </c>
      <c r="B2788" t="s">
        <v>482</v>
      </c>
      <c r="C2788" t="str">
        <f>"460033199305260043"</f>
        <v>460033199305260043</v>
      </c>
      <c r="D2788" t="str">
        <f>"248030402309"</f>
        <v>248030402309</v>
      </c>
      <c r="L2788">
        <v>3742</v>
      </c>
      <c r="M2788" t="s">
        <v>482</v>
      </c>
      <c r="N2788" t="str">
        <f>"248030402309"</f>
        <v>248030402309</v>
      </c>
      <c r="O2788" t="str">
        <f>"460033199305260043"</f>
        <v>460033199305260043</v>
      </c>
    </row>
    <row r="2789" customFormat="1" spans="1:15">
      <c r="A2789">
        <v>3743</v>
      </c>
      <c r="B2789" t="s">
        <v>3386</v>
      </c>
      <c r="C2789" t="str">
        <f>"460002200002294124"</f>
        <v>460002200002294124</v>
      </c>
      <c r="D2789" t="str">
        <f>"248030500809"</f>
        <v>248030500809</v>
      </c>
      <c r="L2789">
        <v>3743</v>
      </c>
      <c r="M2789" t="s">
        <v>3386</v>
      </c>
      <c r="N2789" t="str">
        <f>"248030500809"</f>
        <v>248030500809</v>
      </c>
      <c r="O2789" t="str">
        <f>"460002200002294124"</f>
        <v>460002200002294124</v>
      </c>
    </row>
    <row r="2790" customFormat="1" spans="1:15">
      <c r="A2790">
        <v>3744</v>
      </c>
      <c r="B2790" t="s">
        <v>464</v>
      </c>
      <c r="C2790" t="str">
        <f>"460007199005190028"</f>
        <v>460007199005190028</v>
      </c>
      <c r="D2790" t="str">
        <f>"248030300811"</f>
        <v>248030300811</v>
      </c>
      <c r="L2790">
        <v>3744</v>
      </c>
      <c r="M2790" t="s">
        <v>464</v>
      </c>
      <c r="N2790" t="str">
        <f>"248030300811"</f>
        <v>248030300811</v>
      </c>
      <c r="O2790" t="str">
        <f>"460007199005190028"</f>
        <v>460007199005190028</v>
      </c>
    </row>
    <row r="2791" customFormat="1" spans="1:15">
      <c r="A2791">
        <v>3745</v>
      </c>
      <c r="B2791" t="s">
        <v>3387</v>
      </c>
      <c r="C2791" t="str">
        <f>"460006199807122020"</f>
        <v>460006199807122020</v>
      </c>
      <c r="D2791" t="str">
        <f>"248030301729"</f>
        <v>248030301729</v>
      </c>
      <c r="L2791">
        <v>3745</v>
      </c>
      <c r="M2791" t="s">
        <v>3387</v>
      </c>
      <c r="N2791" t="str">
        <f>"248030301729"</f>
        <v>248030301729</v>
      </c>
      <c r="O2791" t="str">
        <f>"460006199807122020"</f>
        <v>460006199807122020</v>
      </c>
    </row>
    <row r="2792" customFormat="1" spans="1:15">
      <c r="A2792">
        <v>3746</v>
      </c>
      <c r="B2792" t="s">
        <v>3388</v>
      </c>
      <c r="C2792" t="str">
        <f>"42060619951227652X"</f>
        <v>42060619951227652X</v>
      </c>
      <c r="D2792" t="str">
        <f>"248030203030"</f>
        <v>248030203030</v>
      </c>
      <c r="L2792">
        <v>3746</v>
      </c>
      <c r="M2792" t="s">
        <v>3388</v>
      </c>
      <c r="N2792" t="str">
        <f>"248030203030"</f>
        <v>248030203030</v>
      </c>
      <c r="O2792" t="str">
        <f>"42060619951227652X"</f>
        <v>42060619951227652X</v>
      </c>
    </row>
    <row r="2793" customFormat="1" spans="1:15">
      <c r="A2793">
        <v>3747</v>
      </c>
      <c r="B2793" t="s">
        <v>175</v>
      </c>
      <c r="C2793" t="str">
        <f>"460027198812241742"</f>
        <v>460027198812241742</v>
      </c>
      <c r="D2793" t="str">
        <f>"248030501316"</f>
        <v>248030501316</v>
      </c>
      <c r="L2793">
        <v>3747</v>
      </c>
      <c r="M2793" t="s">
        <v>175</v>
      </c>
      <c r="N2793" t="str">
        <f>"248030501316"</f>
        <v>248030501316</v>
      </c>
      <c r="O2793" t="str">
        <f>"460027198812241742"</f>
        <v>460027198812241742</v>
      </c>
    </row>
    <row r="2794" customFormat="1" spans="1:15">
      <c r="A2794">
        <v>3748</v>
      </c>
      <c r="B2794" t="s">
        <v>3389</v>
      </c>
      <c r="C2794" t="str">
        <f>"422823199710020225"</f>
        <v>422823199710020225</v>
      </c>
      <c r="L2794">
        <v>3748</v>
      </c>
      <c r="M2794" t="s">
        <v>3389</v>
      </c>
      <c r="O2794" t="str">
        <f>"422823199710020225"</f>
        <v>422823199710020225</v>
      </c>
    </row>
    <row r="2795" customFormat="1" spans="1:15">
      <c r="A2795">
        <v>3749</v>
      </c>
      <c r="B2795" t="s">
        <v>3390</v>
      </c>
      <c r="C2795" t="str">
        <f>"460007199511120823"</f>
        <v>460007199511120823</v>
      </c>
      <c r="D2795" t="str">
        <f>"248030302720"</f>
        <v>248030302720</v>
      </c>
      <c r="L2795">
        <v>3749</v>
      </c>
      <c r="M2795" t="s">
        <v>3390</v>
      </c>
      <c r="N2795" t="str">
        <f>"248030302720"</f>
        <v>248030302720</v>
      </c>
      <c r="O2795" t="str">
        <f>"460007199511120823"</f>
        <v>460007199511120823</v>
      </c>
    </row>
    <row r="2796" customFormat="1" spans="1:15">
      <c r="A2796">
        <v>3750</v>
      </c>
      <c r="B2796" t="s">
        <v>3391</v>
      </c>
      <c r="C2796" t="str">
        <f>"460033199511174867"</f>
        <v>460033199511174867</v>
      </c>
      <c r="D2796" t="str">
        <f>"248030504223"</f>
        <v>248030504223</v>
      </c>
      <c r="L2796">
        <v>3750</v>
      </c>
      <c r="M2796" t="s">
        <v>3391</v>
      </c>
      <c r="N2796" t="str">
        <f>"248030504223"</f>
        <v>248030504223</v>
      </c>
      <c r="O2796" t="str">
        <f>"460033199511174867"</f>
        <v>460033199511174867</v>
      </c>
    </row>
    <row r="2797" customFormat="1" spans="1:15">
      <c r="A2797">
        <v>3751</v>
      </c>
      <c r="B2797" t="s">
        <v>3392</v>
      </c>
      <c r="C2797" t="str">
        <f>"460105199807167121"</f>
        <v>460105199807167121</v>
      </c>
      <c r="D2797" t="str">
        <f>"248030404220"</f>
        <v>248030404220</v>
      </c>
      <c r="L2797">
        <v>3751</v>
      </c>
      <c r="M2797" t="s">
        <v>3392</v>
      </c>
      <c r="N2797" t="str">
        <f>"248030404220"</f>
        <v>248030404220</v>
      </c>
      <c r="O2797" t="str">
        <f>"460105199807167121"</f>
        <v>460105199807167121</v>
      </c>
    </row>
    <row r="2798" customFormat="1" spans="1:15">
      <c r="A2798">
        <v>3752</v>
      </c>
      <c r="B2798" t="s">
        <v>3393</v>
      </c>
      <c r="C2798" t="str">
        <f>"469006200110211668"</f>
        <v>469006200110211668</v>
      </c>
      <c r="D2798" t="str">
        <f>"248030500803"</f>
        <v>248030500803</v>
      </c>
      <c r="L2798">
        <v>3752</v>
      </c>
      <c r="M2798" t="s">
        <v>3393</v>
      </c>
      <c r="N2798" t="str">
        <f>"248030500803"</f>
        <v>248030500803</v>
      </c>
      <c r="O2798" t="str">
        <f>"469006200110211668"</f>
        <v>469006200110211668</v>
      </c>
    </row>
    <row r="2799" customFormat="1" spans="1:15">
      <c r="A2799">
        <v>3754</v>
      </c>
      <c r="B2799" t="s">
        <v>3394</v>
      </c>
      <c r="C2799" t="str">
        <f>"460104199706291223"</f>
        <v>460104199706291223</v>
      </c>
      <c r="D2799" t="str">
        <f>"248030500414"</f>
        <v>248030500414</v>
      </c>
      <c r="L2799">
        <v>3754</v>
      </c>
      <c r="M2799" t="s">
        <v>3394</v>
      </c>
      <c r="N2799" t="str">
        <f>"248030500414"</f>
        <v>248030500414</v>
      </c>
      <c r="O2799" t="str">
        <f>"460104199706291223"</f>
        <v>460104199706291223</v>
      </c>
    </row>
    <row r="2800" customFormat="1" spans="1:15">
      <c r="A2800">
        <v>3755</v>
      </c>
      <c r="B2800" t="s">
        <v>1625</v>
      </c>
      <c r="C2800" t="str">
        <f>"460003199804103247"</f>
        <v>460003199804103247</v>
      </c>
      <c r="D2800" t="str">
        <f>"248030500604"</f>
        <v>248030500604</v>
      </c>
      <c r="L2800">
        <v>3755</v>
      </c>
      <c r="M2800" t="s">
        <v>1625</v>
      </c>
      <c r="N2800" t="str">
        <f>"248030500604"</f>
        <v>248030500604</v>
      </c>
      <c r="O2800" t="str">
        <f>"460003199804103247"</f>
        <v>460003199804103247</v>
      </c>
    </row>
    <row r="2801" customFormat="1" spans="1:15">
      <c r="A2801">
        <v>3756</v>
      </c>
      <c r="B2801" t="s">
        <v>3395</v>
      </c>
      <c r="C2801" t="str">
        <f>"460006199402232723"</f>
        <v>460006199402232723</v>
      </c>
      <c r="L2801">
        <v>3756</v>
      </c>
      <c r="M2801" t="s">
        <v>3395</v>
      </c>
      <c r="O2801" t="str">
        <f>"460006199402232723"</f>
        <v>460006199402232723</v>
      </c>
    </row>
    <row r="2802" customFormat="1" spans="1:15">
      <c r="A2802">
        <v>3757</v>
      </c>
      <c r="B2802" t="s">
        <v>601</v>
      </c>
      <c r="C2802" t="str">
        <f>"460027199907082929"</f>
        <v>460027199907082929</v>
      </c>
      <c r="D2802" t="str">
        <f>"248030103708"</f>
        <v>248030103708</v>
      </c>
      <c r="L2802">
        <v>3757</v>
      </c>
      <c r="M2802" t="s">
        <v>601</v>
      </c>
      <c r="N2802" t="str">
        <f>"248030103708"</f>
        <v>248030103708</v>
      </c>
      <c r="O2802" t="str">
        <f>"460027199907082929"</f>
        <v>460027199907082929</v>
      </c>
    </row>
    <row r="2803" customFormat="1" spans="1:15">
      <c r="A2803">
        <v>3758</v>
      </c>
      <c r="B2803" t="s">
        <v>3396</v>
      </c>
      <c r="C2803" t="str">
        <f>"469027199810294480"</f>
        <v>469027199810294480</v>
      </c>
      <c r="D2803" t="str">
        <f>"248030400405"</f>
        <v>248030400405</v>
      </c>
      <c r="L2803">
        <v>3758</v>
      </c>
      <c r="M2803" t="s">
        <v>3396</v>
      </c>
      <c r="N2803" t="str">
        <f>"248030400405"</f>
        <v>248030400405</v>
      </c>
      <c r="O2803" t="str">
        <f>"469027199810294480"</f>
        <v>469027199810294480</v>
      </c>
    </row>
    <row r="2804" customFormat="1" spans="1:15">
      <c r="A2804">
        <v>3759</v>
      </c>
      <c r="B2804" t="s">
        <v>3397</v>
      </c>
      <c r="C2804" t="str">
        <f>"469027199303074483"</f>
        <v>469027199303074483</v>
      </c>
      <c r="D2804" t="str">
        <f>"248030500515"</f>
        <v>248030500515</v>
      </c>
      <c r="L2804">
        <v>3759</v>
      </c>
      <c r="M2804" t="s">
        <v>3397</v>
      </c>
      <c r="N2804" t="str">
        <f>"248030500515"</f>
        <v>248030500515</v>
      </c>
      <c r="O2804" t="str">
        <f>"469027199303074483"</f>
        <v>469027199303074483</v>
      </c>
    </row>
    <row r="2805" customFormat="1" spans="1:15">
      <c r="A2805">
        <v>3760</v>
      </c>
      <c r="B2805" t="s">
        <v>3398</v>
      </c>
      <c r="C2805" t="str">
        <f>"460036199610224822"</f>
        <v>460036199610224822</v>
      </c>
      <c r="L2805">
        <v>3760</v>
      </c>
      <c r="M2805" t="s">
        <v>3398</v>
      </c>
      <c r="O2805" t="str">
        <f>"460036199610224822"</f>
        <v>460036199610224822</v>
      </c>
    </row>
    <row r="2806" customFormat="1" spans="1:15">
      <c r="A2806">
        <v>3761</v>
      </c>
      <c r="B2806" t="s">
        <v>3399</v>
      </c>
      <c r="C2806" t="str">
        <f>"460007199902180022"</f>
        <v>460007199902180022</v>
      </c>
      <c r="L2806">
        <v>3761</v>
      </c>
      <c r="M2806" t="s">
        <v>3399</v>
      </c>
      <c r="O2806" t="str">
        <f>"460007199902180022"</f>
        <v>460007199902180022</v>
      </c>
    </row>
    <row r="2807" customFormat="1" spans="1:15">
      <c r="A2807">
        <v>3762</v>
      </c>
      <c r="B2807" t="s">
        <v>3400</v>
      </c>
      <c r="C2807" t="str">
        <f>"460102200111292449"</f>
        <v>460102200111292449</v>
      </c>
      <c r="D2807" t="str">
        <f>"248030202603"</f>
        <v>248030202603</v>
      </c>
      <c r="L2807">
        <v>3762</v>
      </c>
      <c r="M2807" t="s">
        <v>3400</v>
      </c>
      <c r="N2807" t="str">
        <f>"248030202603"</f>
        <v>248030202603</v>
      </c>
      <c r="O2807" t="str">
        <f>"460102200111292449"</f>
        <v>460102200111292449</v>
      </c>
    </row>
    <row r="2808" customFormat="1" spans="1:15">
      <c r="A2808">
        <v>3763</v>
      </c>
      <c r="B2808" t="s">
        <v>3401</v>
      </c>
      <c r="C2808" t="str">
        <f>"411202200105301529"</f>
        <v>411202200105301529</v>
      </c>
      <c r="D2808" t="str">
        <f>"248030201722"</f>
        <v>248030201722</v>
      </c>
      <c r="L2808">
        <v>3763</v>
      </c>
      <c r="M2808" t="s">
        <v>3401</v>
      </c>
      <c r="N2808" t="str">
        <f>"248030201722"</f>
        <v>248030201722</v>
      </c>
      <c r="O2808" t="str">
        <f>"411202200105301529"</f>
        <v>411202200105301529</v>
      </c>
    </row>
    <row r="2809" customFormat="1" spans="1:15">
      <c r="A2809">
        <v>3766</v>
      </c>
      <c r="B2809" t="s">
        <v>699</v>
      </c>
      <c r="C2809" t="str">
        <f>"460027199706182026"</f>
        <v>460027199706182026</v>
      </c>
      <c r="L2809">
        <v>3766</v>
      </c>
      <c r="M2809" t="s">
        <v>699</v>
      </c>
      <c r="O2809" t="str">
        <f>"460027199706182026"</f>
        <v>460027199706182026</v>
      </c>
    </row>
    <row r="2810" customFormat="1" spans="1:15">
      <c r="A2810">
        <v>3767</v>
      </c>
      <c r="B2810" t="s">
        <v>3402</v>
      </c>
      <c r="C2810" t="str">
        <f>"460004199212263446"</f>
        <v>460004199212263446</v>
      </c>
      <c r="D2810" t="str">
        <f>"248030202524"</f>
        <v>248030202524</v>
      </c>
      <c r="L2810">
        <v>3767</v>
      </c>
      <c r="M2810" t="s">
        <v>3402</v>
      </c>
      <c r="N2810" t="str">
        <f>"248030202524"</f>
        <v>248030202524</v>
      </c>
      <c r="O2810" t="str">
        <f>"460004199212263446"</f>
        <v>460004199212263446</v>
      </c>
    </row>
    <row r="2811" customFormat="1" spans="1:15">
      <c r="A2811">
        <v>3768</v>
      </c>
      <c r="B2811" t="s">
        <v>3403</v>
      </c>
      <c r="C2811" t="str">
        <f>"460004200112196018"</f>
        <v>460004200112196018</v>
      </c>
      <c r="D2811" t="str">
        <f>"248030202506"</f>
        <v>248030202506</v>
      </c>
      <c r="L2811">
        <v>3768</v>
      </c>
      <c r="M2811" t="s">
        <v>3403</v>
      </c>
      <c r="N2811" t="str">
        <f>"248030202506"</f>
        <v>248030202506</v>
      </c>
      <c r="O2811" t="str">
        <f>"460004200112196018"</f>
        <v>460004200112196018</v>
      </c>
    </row>
    <row r="2812" customFormat="1" spans="1:15">
      <c r="A2812">
        <v>3769</v>
      </c>
      <c r="B2812" t="s">
        <v>3404</v>
      </c>
      <c r="C2812" t="str">
        <f>"460028198910011226"</f>
        <v>460028198910011226</v>
      </c>
      <c r="D2812" t="str">
        <f>"248030202816"</f>
        <v>248030202816</v>
      </c>
      <c r="L2812">
        <v>3769</v>
      </c>
      <c r="M2812" t="s">
        <v>3404</v>
      </c>
      <c r="N2812" t="str">
        <f>"248030202816"</f>
        <v>248030202816</v>
      </c>
      <c r="O2812" t="str">
        <f>"460028198910011226"</f>
        <v>460028198910011226</v>
      </c>
    </row>
    <row r="2813" customFormat="1" spans="1:15">
      <c r="A2813">
        <v>3770</v>
      </c>
      <c r="B2813" t="s">
        <v>3405</v>
      </c>
      <c r="C2813" t="str">
        <f>"460003200104270242"</f>
        <v>460003200104270242</v>
      </c>
      <c r="D2813" t="str">
        <f>"248030500905"</f>
        <v>248030500905</v>
      </c>
      <c r="L2813">
        <v>3770</v>
      </c>
      <c r="M2813" t="s">
        <v>3405</v>
      </c>
      <c r="N2813" t="str">
        <f>"248030500905"</f>
        <v>248030500905</v>
      </c>
      <c r="O2813" t="str">
        <f>"460003200104270242"</f>
        <v>460003200104270242</v>
      </c>
    </row>
    <row r="2814" customFormat="1" spans="1:15">
      <c r="A2814">
        <v>3771</v>
      </c>
      <c r="B2814" t="s">
        <v>3406</v>
      </c>
      <c r="C2814" t="str">
        <f>"341222200009303900"</f>
        <v>341222200009303900</v>
      </c>
      <c r="D2814" t="str">
        <f>"248030202214"</f>
        <v>248030202214</v>
      </c>
      <c r="L2814">
        <v>3771</v>
      </c>
      <c r="M2814" t="s">
        <v>3406</v>
      </c>
      <c r="N2814" t="str">
        <f>"248030202214"</f>
        <v>248030202214</v>
      </c>
      <c r="O2814" t="str">
        <f>"341222200009303900"</f>
        <v>341222200009303900</v>
      </c>
    </row>
    <row r="2815" customFormat="1" spans="1:15">
      <c r="A2815">
        <v>3772</v>
      </c>
      <c r="B2815" t="s">
        <v>1735</v>
      </c>
      <c r="C2815" t="str">
        <f>"460033200001303871"</f>
        <v>460033200001303871</v>
      </c>
      <c r="D2815" t="str">
        <f>"248030201919"</f>
        <v>248030201919</v>
      </c>
      <c r="L2815">
        <v>3772</v>
      </c>
      <c r="M2815" t="s">
        <v>1735</v>
      </c>
      <c r="N2815" t="str">
        <f>"248030201919"</f>
        <v>248030201919</v>
      </c>
      <c r="O2815" t="str">
        <f>"460033200001303871"</f>
        <v>460033200001303871</v>
      </c>
    </row>
    <row r="2816" customFormat="1" spans="1:15">
      <c r="A2816">
        <v>3773</v>
      </c>
      <c r="B2816" t="s">
        <v>3407</v>
      </c>
      <c r="C2816" t="str">
        <f>"469021199902131525"</f>
        <v>469021199902131525</v>
      </c>
      <c r="D2816" t="str">
        <f>"248030404018"</f>
        <v>248030404018</v>
      </c>
      <c r="L2816">
        <v>3773</v>
      </c>
      <c r="M2816" t="s">
        <v>3407</v>
      </c>
      <c r="N2816" t="str">
        <f>"248030404018"</f>
        <v>248030404018</v>
      </c>
      <c r="O2816" t="str">
        <f>"469021199902131525"</f>
        <v>469021199902131525</v>
      </c>
    </row>
    <row r="2817" customFormat="1" spans="1:15">
      <c r="A2817">
        <v>3774</v>
      </c>
      <c r="B2817" t="s">
        <v>3408</v>
      </c>
      <c r="C2817" t="str">
        <f>"469007199808017622"</f>
        <v>469007199808017622</v>
      </c>
      <c r="D2817" t="str">
        <f>"248030300928"</f>
        <v>248030300928</v>
      </c>
      <c r="L2817">
        <v>3774</v>
      </c>
      <c r="M2817" t="s">
        <v>3408</v>
      </c>
      <c r="N2817" t="str">
        <f>"248030300928"</f>
        <v>248030300928</v>
      </c>
      <c r="O2817" t="str">
        <f>"469007199808017622"</f>
        <v>469007199808017622</v>
      </c>
    </row>
    <row r="2818" customFormat="1" spans="1:15">
      <c r="A2818">
        <v>3775</v>
      </c>
      <c r="B2818" t="s">
        <v>3409</v>
      </c>
      <c r="C2818" t="str">
        <f>"440921199706255739"</f>
        <v>440921199706255739</v>
      </c>
      <c r="D2818" t="str">
        <f>"248030203513"</f>
        <v>248030203513</v>
      </c>
      <c r="L2818">
        <v>3775</v>
      </c>
      <c r="M2818" t="s">
        <v>3409</v>
      </c>
      <c r="N2818" t="str">
        <f>"248030203513"</f>
        <v>248030203513</v>
      </c>
      <c r="O2818" t="str">
        <f>"440921199706255739"</f>
        <v>440921199706255739</v>
      </c>
    </row>
    <row r="2819" customFormat="1" spans="1:15">
      <c r="A2819">
        <v>3776</v>
      </c>
      <c r="B2819" t="s">
        <v>3410</v>
      </c>
      <c r="C2819" t="str">
        <f>"469024200201226024"</f>
        <v>469024200201226024</v>
      </c>
      <c r="D2819" t="str">
        <f>"248030302524"</f>
        <v>248030302524</v>
      </c>
      <c r="L2819">
        <v>3776</v>
      </c>
      <c r="M2819" t="s">
        <v>3410</v>
      </c>
      <c r="N2819" t="str">
        <f>"248030302524"</f>
        <v>248030302524</v>
      </c>
      <c r="O2819" t="str">
        <f>"469024200201226024"</f>
        <v>469024200201226024</v>
      </c>
    </row>
    <row r="2820" customFormat="1" spans="1:15">
      <c r="A2820">
        <v>3777</v>
      </c>
      <c r="B2820" t="s">
        <v>3411</v>
      </c>
      <c r="C2820" t="str">
        <f>"460028200110150025"</f>
        <v>460028200110150025</v>
      </c>
      <c r="D2820" t="str">
        <f>"248030302215"</f>
        <v>248030302215</v>
      </c>
      <c r="L2820">
        <v>3777</v>
      </c>
      <c r="M2820" t="s">
        <v>3411</v>
      </c>
      <c r="N2820" t="str">
        <f>"248030302215"</f>
        <v>248030302215</v>
      </c>
      <c r="O2820" t="str">
        <f>"460028200110150025"</f>
        <v>460028200110150025</v>
      </c>
    </row>
    <row r="2821" customFormat="1" spans="1:15">
      <c r="A2821">
        <v>3778</v>
      </c>
      <c r="B2821" t="s">
        <v>3412</v>
      </c>
      <c r="C2821" t="str">
        <f>"522628199806180025"</f>
        <v>522628199806180025</v>
      </c>
      <c r="D2821" t="str">
        <f>"248030504005"</f>
        <v>248030504005</v>
      </c>
      <c r="L2821">
        <v>3778</v>
      </c>
      <c r="M2821" t="s">
        <v>3412</v>
      </c>
      <c r="N2821" t="str">
        <f>"248030504005"</f>
        <v>248030504005</v>
      </c>
      <c r="O2821" t="str">
        <f>"522628199806180025"</f>
        <v>522628199806180025</v>
      </c>
    </row>
    <row r="2822" customFormat="1" spans="1:15">
      <c r="A2822">
        <v>3779</v>
      </c>
      <c r="B2822" t="s">
        <v>3413</v>
      </c>
      <c r="C2822" t="str">
        <f>"341223199912270421"</f>
        <v>341223199912270421</v>
      </c>
      <c r="D2822" t="str">
        <f>"248030202611"</f>
        <v>248030202611</v>
      </c>
      <c r="L2822">
        <v>3779</v>
      </c>
      <c r="M2822" t="s">
        <v>3413</v>
      </c>
      <c r="N2822" t="str">
        <f>"248030202611"</f>
        <v>248030202611</v>
      </c>
      <c r="O2822" t="str">
        <f>"341223199912270421"</f>
        <v>341223199912270421</v>
      </c>
    </row>
    <row r="2823" customFormat="1" spans="1:15">
      <c r="A2823">
        <v>3780</v>
      </c>
      <c r="B2823" t="s">
        <v>3414</v>
      </c>
      <c r="C2823" t="str">
        <f>"460102199803032423"</f>
        <v>460102199803032423</v>
      </c>
      <c r="D2823" t="str">
        <f>"248030504211"</f>
        <v>248030504211</v>
      </c>
      <c r="L2823">
        <v>3780</v>
      </c>
      <c r="M2823" t="s">
        <v>3414</v>
      </c>
      <c r="N2823" t="str">
        <f>"248030504211"</f>
        <v>248030504211</v>
      </c>
      <c r="O2823" t="str">
        <f>"460102199803032423"</f>
        <v>460102199803032423</v>
      </c>
    </row>
    <row r="2824" customFormat="1" spans="1:15">
      <c r="A2824">
        <v>3781</v>
      </c>
      <c r="B2824" t="s">
        <v>3415</v>
      </c>
      <c r="C2824" t="str">
        <f>"460033199205084900"</f>
        <v>460033199205084900</v>
      </c>
      <c r="D2824" t="str">
        <f>"248030201006"</f>
        <v>248030201006</v>
      </c>
      <c r="L2824">
        <v>3781</v>
      </c>
      <c r="M2824" t="s">
        <v>3415</v>
      </c>
      <c r="N2824" t="str">
        <f>"248030201006"</f>
        <v>248030201006</v>
      </c>
      <c r="O2824" t="str">
        <f>"460033199205084900"</f>
        <v>460033199205084900</v>
      </c>
    </row>
    <row r="2825" customFormat="1" spans="1:15">
      <c r="A2825">
        <v>3782</v>
      </c>
      <c r="B2825" t="s">
        <v>3416</v>
      </c>
      <c r="C2825" t="str">
        <f>"452628199107200324"</f>
        <v>452628199107200324</v>
      </c>
      <c r="D2825" t="str">
        <f>"248030401626"</f>
        <v>248030401626</v>
      </c>
      <c r="L2825">
        <v>3782</v>
      </c>
      <c r="M2825" t="s">
        <v>3416</v>
      </c>
      <c r="N2825" t="str">
        <f>"248030401626"</f>
        <v>248030401626</v>
      </c>
      <c r="O2825" t="str">
        <f>"452628199107200324"</f>
        <v>452628199107200324</v>
      </c>
    </row>
    <row r="2826" customFormat="1" spans="1:15">
      <c r="A2826">
        <v>3783</v>
      </c>
      <c r="B2826" t="s">
        <v>3417</v>
      </c>
      <c r="C2826" t="str">
        <f>"469025200211016326"</f>
        <v>469025200211016326</v>
      </c>
      <c r="D2826" t="str">
        <f>"248030400418"</f>
        <v>248030400418</v>
      </c>
      <c r="L2826">
        <v>3783</v>
      </c>
      <c r="M2826" t="s">
        <v>3417</v>
      </c>
      <c r="N2826" t="str">
        <f>"248030400418"</f>
        <v>248030400418</v>
      </c>
      <c r="O2826" t="str">
        <f>"469025200211016326"</f>
        <v>469025200211016326</v>
      </c>
    </row>
    <row r="2827" customFormat="1" spans="1:15">
      <c r="A2827">
        <v>3784</v>
      </c>
      <c r="B2827" t="s">
        <v>3418</v>
      </c>
      <c r="C2827" t="str">
        <f>"460027200104165670"</f>
        <v>460027200104165670</v>
      </c>
      <c r="L2827">
        <v>3784</v>
      </c>
      <c r="M2827" t="s">
        <v>3418</v>
      </c>
      <c r="O2827" t="str">
        <f>"460027200104165670"</f>
        <v>460027200104165670</v>
      </c>
    </row>
    <row r="2828" customFormat="1" spans="1:15">
      <c r="A2828">
        <v>3786</v>
      </c>
      <c r="B2828" t="s">
        <v>3281</v>
      </c>
      <c r="C2828" t="str">
        <f>"46000620020225312X"</f>
        <v>46000620020225312X</v>
      </c>
      <c r="D2828" t="str">
        <f>"248030503921"</f>
        <v>248030503921</v>
      </c>
      <c r="L2828">
        <v>3786</v>
      </c>
      <c r="M2828" t="s">
        <v>3281</v>
      </c>
      <c r="N2828" t="str">
        <f>"248030503921"</f>
        <v>248030503921</v>
      </c>
      <c r="O2828" t="str">
        <f>"46000620020225312X"</f>
        <v>46000620020225312X</v>
      </c>
    </row>
    <row r="2829" customFormat="1" spans="1:15">
      <c r="A2829">
        <v>3787</v>
      </c>
      <c r="B2829" t="s">
        <v>3419</v>
      </c>
      <c r="C2829" t="str">
        <f>"460025199011172742"</f>
        <v>460025199011172742</v>
      </c>
      <c r="D2829" t="str">
        <f>"248030104619"</f>
        <v>248030104619</v>
      </c>
      <c r="L2829">
        <v>3787</v>
      </c>
      <c r="M2829" t="s">
        <v>3419</v>
      </c>
      <c r="N2829" t="str">
        <f>"248030104619"</f>
        <v>248030104619</v>
      </c>
      <c r="O2829" t="str">
        <f>"460025199011172742"</f>
        <v>460025199011172742</v>
      </c>
    </row>
    <row r="2830" customFormat="1" spans="1:15">
      <c r="A2830">
        <v>3788</v>
      </c>
      <c r="B2830" t="s">
        <v>3420</v>
      </c>
      <c r="C2830" t="str">
        <f>"460004200003010026"</f>
        <v>460004200003010026</v>
      </c>
      <c r="D2830" t="str">
        <f>"248030102318"</f>
        <v>248030102318</v>
      </c>
      <c r="L2830">
        <v>3788</v>
      </c>
      <c r="M2830" t="s">
        <v>3420</v>
      </c>
      <c r="N2830" t="str">
        <f>"248030102318"</f>
        <v>248030102318</v>
      </c>
      <c r="O2830" t="str">
        <f>"460004200003010026"</f>
        <v>460004200003010026</v>
      </c>
    </row>
    <row r="2831" customFormat="1" spans="1:15">
      <c r="A2831">
        <v>3789</v>
      </c>
      <c r="B2831" t="s">
        <v>3421</v>
      </c>
      <c r="C2831" t="str">
        <f>"460003199606082465"</f>
        <v>460003199606082465</v>
      </c>
      <c r="D2831" t="str">
        <f>"248030503629"</f>
        <v>248030503629</v>
      </c>
      <c r="L2831">
        <v>3789</v>
      </c>
      <c r="M2831" t="s">
        <v>3421</v>
      </c>
      <c r="N2831" t="str">
        <f>"248030503629"</f>
        <v>248030503629</v>
      </c>
      <c r="O2831" t="str">
        <f>"460003199606082465"</f>
        <v>460003199606082465</v>
      </c>
    </row>
    <row r="2832" customFormat="1" spans="1:15">
      <c r="A2832">
        <v>3790</v>
      </c>
      <c r="B2832" t="s">
        <v>3422</v>
      </c>
      <c r="C2832" t="str">
        <f>"460005199907051729"</f>
        <v>460005199907051729</v>
      </c>
      <c r="D2832" t="str">
        <f>"248030101424"</f>
        <v>248030101424</v>
      </c>
      <c r="L2832">
        <v>3790</v>
      </c>
      <c r="M2832" t="s">
        <v>3422</v>
      </c>
      <c r="N2832" t="str">
        <f>"248030101424"</f>
        <v>248030101424</v>
      </c>
      <c r="O2832" t="str">
        <f>"460005199907051729"</f>
        <v>460005199907051729</v>
      </c>
    </row>
    <row r="2833" customFormat="1" spans="1:15">
      <c r="A2833">
        <v>3791</v>
      </c>
      <c r="B2833" t="s">
        <v>3423</v>
      </c>
      <c r="C2833" t="str">
        <f>"469023199401150405"</f>
        <v>469023199401150405</v>
      </c>
      <c r="D2833" t="str">
        <f>"248030201614"</f>
        <v>248030201614</v>
      </c>
      <c r="L2833">
        <v>3791</v>
      </c>
      <c r="M2833" t="s">
        <v>3423</v>
      </c>
      <c r="N2833" t="str">
        <f>"248030201614"</f>
        <v>248030201614</v>
      </c>
      <c r="O2833" t="str">
        <f>"469023199401150405"</f>
        <v>469023199401150405</v>
      </c>
    </row>
    <row r="2834" customFormat="1" spans="1:15">
      <c r="A2834">
        <v>3792</v>
      </c>
      <c r="B2834" t="s">
        <v>3424</v>
      </c>
      <c r="C2834" t="str">
        <f>"130133200109170061"</f>
        <v>130133200109170061</v>
      </c>
      <c r="D2834" t="str">
        <f>"248030301321"</f>
        <v>248030301321</v>
      </c>
      <c r="L2834">
        <v>3792</v>
      </c>
      <c r="M2834" t="s">
        <v>3424</v>
      </c>
      <c r="N2834" t="str">
        <f>"248030301321"</f>
        <v>248030301321</v>
      </c>
      <c r="O2834" t="str">
        <f>"130133200109170061"</f>
        <v>130133200109170061</v>
      </c>
    </row>
    <row r="2835" customFormat="1" spans="1:15">
      <c r="A2835">
        <v>3793</v>
      </c>
      <c r="B2835" t="s">
        <v>3425</v>
      </c>
      <c r="C2835" t="str">
        <f>"460031199606074823"</f>
        <v>460031199606074823</v>
      </c>
      <c r="D2835" t="str">
        <f>"248030100217"</f>
        <v>248030100217</v>
      </c>
      <c r="L2835">
        <v>3793</v>
      </c>
      <c r="M2835" t="s">
        <v>3425</v>
      </c>
      <c r="N2835" t="str">
        <f>"248030100217"</f>
        <v>248030100217</v>
      </c>
      <c r="O2835" t="str">
        <f>"460031199606074823"</f>
        <v>460031199606074823</v>
      </c>
    </row>
    <row r="2836" customFormat="1" spans="1:15">
      <c r="A2836">
        <v>3795</v>
      </c>
      <c r="B2836" t="s">
        <v>3426</v>
      </c>
      <c r="C2836" t="str">
        <f>"460028200111104426"</f>
        <v>460028200111104426</v>
      </c>
      <c r="D2836" t="str">
        <f>"248030101705"</f>
        <v>248030101705</v>
      </c>
      <c r="L2836">
        <v>3795</v>
      </c>
      <c r="M2836" t="s">
        <v>3426</v>
      </c>
      <c r="N2836" t="str">
        <f>"248030101705"</f>
        <v>248030101705</v>
      </c>
      <c r="O2836" t="str">
        <f>"460028200111104426"</f>
        <v>460028200111104426</v>
      </c>
    </row>
    <row r="2837" customFormat="1" spans="1:15">
      <c r="A2837">
        <v>3796</v>
      </c>
      <c r="B2837" t="s">
        <v>3427</v>
      </c>
      <c r="C2837" t="str">
        <f>"460007199511035784"</f>
        <v>460007199511035784</v>
      </c>
      <c r="D2837" t="str">
        <f>"248030103305"</f>
        <v>248030103305</v>
      </c>
      <c r="L2837">
        <v>3796</v>
      </c>
      <c r="M2837" t="s">
        <v>3427</v>
      </c>
      <c r="N2837" t="str">
        <f>"248030103305"</f>
        <v>248030103305</v>
      </c>
      <c r="O2837" t="str">
        <f>"460007199511035784"</f>
        <v>460007199511035784</v>
      </c>
    </row>
    <row r="2838" customFormat="1" spans="1:15">
      <c r="A2838">
        <v>3797</v>
      </c>
      <c r="B2838" t="s">
        <v>3428</v>
      </c>
      <c r="C2838" t="str">
        <f>"460007199506207369"</f>
        <v>460007199506207369</v>
      </c>
      <c r="D2838" t="str">
        <f>"248030105011"</f>
        <v>248030105011</v>
      </c>
      <c r="L2838">
        <v>3797</v>
      </c>
      <c r="M2838" t="s">
        <v>3428</v>
      </c>
      <c r="N2838" t="str">
        <f>"248030105011"</f>
        <v>248030105011</v>
      </c>
      <c r="O2838" t="str">
        <f>"460007199506207369"</f>
        <v>460007199506207369</v>
      </c>
    </row>
    <row r="2839" customFormat="1" spans="1:15">
      <c r="A2839">
        <v>3798</v>
      </c>
      <c r="B2839" t="s">
        <v>3429</v>
      </c>
      <c r="C2839" t="str">
        <f>"460027200012261024"</f>
        <v>460027200012261024</v>
      </c>
      <c r="D2839" t="str">
        <f>"248030203730"</f>
        <v>248030203730</v>
      </c>
      <c r="L2839">
        <v>3798</v>
      </c>
      <c r="M2839" t="s">
        <v>3429</v>
      </c>
      <c r="N2839" t="str">
        <f>"248030203730"</f>
        <v>248030203730</v>
      </c>
      <c r="O2839" t="str">
        <f>"460027200012261024"</f>
        <v>460027200012261024</v>
      </c>
    </row>
    <row r="2840" customFormat="1" spans="1:15">
      <c r="A2840">
        <v>3799</v>
      </c>
      <c r="B2840" t="s">
        <v>3430</v>
      </c>
      <c r="C2840" t="str">
        <f>"460003199706294625"</f>
        <v>460003199706294625</v>
      </c>
      <c r="D2840" t="str">
        <f>"248030104915"</f>
        <v>248030104915</v>
      </c>
      <c r="L2840">
        <v>3799</v>
      </c>
      <c r="M2840" t="s">
        <v>3430</v>
      </c>
      <c r="N2840" t="str">
        <f>"248030104915"</f>
        <v>248030104915</v>
      </c>
      <c r="O2840" t="str">
        <f>"460003199706294625"</f>
        <v>460003199706294625</v>
      </c>
    </row>
    <row r="2841" customFormat="1" spans="1:15">
      <c r="A2841">
        <v>3800</v>
      </c>
      <c r="B2841" t="s">
        <v>3431</v>
      </c>
      <c r="C2841" t="str">
        <f>"460007199803040040"</f>
        <v>460007199803040040</v>
      </c>
      <c r="D2841" t="str">
        <f>"248030502513"</f>
        <v>248030502513</v>
      </c>
      <c r="L2841">
        <v>3800</v>
      </c>
      <c r="M2841" t="s">
        <v>3431</v>
      </c>
      <c r="N2841" t="str">
        <f>"248030502513"</f>
        <v>248030502513</v>
      </c>
      <c r="O2841" t="str">
        <f>"460007199803040040"</f>
        <v>460007199803040040</v>
      </c>
    </row>
    <row r="2842" customFormat="1" spans="1:15">
      <c r="A2842">
        <v>3801</v>
      </c>
      <c r="B2842" t="s">
        <v>3432</v>
      </c>
      <c r="C2842" t="str">
        <f>"460003199511273226"</f>
        <v>460003199511273226</v>
      </c>
      <c r="D2842" t="str">
        <f>"248030504025"</f>
        <v>248030504025</v>
      </c>
      <c r="L2842">
        <v>3801</v>
      </c>
      <c r="M2842" t="s">
        <v>3432</v>
      </c>
      <c r="N2842" t="str">
        <f>"248030504025"</f>
        <v>248030504025</v>
      </c>
      <c r="O2842" t="str">
        <f>"460003199511273226"</f>
        <v>460003199511273226</v>
      </c>
    </row>
    <row r="2843" customFormat="1" spans="1:15">
      <c r="A2843">
        <v>3802</v>
      </c>
      <c r="B2843" t="s">
        <v>3433</v>
      </c>
      <c r="C2843" t="str">
        <f>"450421199501063527"</f>
        <v>450421199501063527</v>
      </c>
      <c r="D2843" t="str">
        <f>"248030300614"</f>
        <v>248030300614</v>
      </c>
      <c r="L2843">
        <v>3802</v>
      </c>
      <c r="M2843" t="s">
        <v>3433</v>
      </c>
      <c r="N2843" t="str">
        <f>"248030300614"</f>
        <v>248030300614</v>
      </c>
      <c r="O2843" t="str">
        <f>"450421199501063527"</f>
        <v>450421199501063527</v>
      </c>
    </row>
    <row r="2844" customFormat="1" spans="1:15">
      <c r="A2844">
        <v>3803</v>
      </c>
      <c r="B2844" t="s">
        <v>3434</v>
      </c>
      <c r="C2844" t="str">
        <f>"460025198605290012"</f>
        <v>460025198605290012</v>
      </c>
      <c r="D2844" t="str">
        <f>"248030201411"</f>
        <v>248030201411</v>
      </c>
      <c r="L2844">
        <v>3803</v>
      </c>
      <c r="M2844" t="s">
        <v>3434</v>
      </c>
      <c r="N2844" t="str">
        <f>"248030201411"</f>
        <v>248030201411</v>
      </c>
      <c r="O2844" t="str">
        <f>"460025198605290012"</f>
        <v>460025198605290012</v>
      </c>
    </row>
    <row r="2845" customFormat="1" spans="1:15">
      <c r="A2845">
        <v>3804</v>
      </c>
      <c r="B2845" t="s">
        <v>3435</v>
      </c>
      <c r="C2845" t="str">
        <f>"460006199911111620"</f>
        <v>460006199911111620</v>
      </c>
      <c r="D2845" t="str">
        <f>"248030200924"</f>
        <v>248030200924</v>
      </c>
      <c r="L2845">
        <v>3804</v>
      </c>
      <c r="M2845" t="s">
        <v>3435</v>
      </c>
      <c r="N2845" t="str">
        <f>"248030200924"</f>
        <v>248030200924</v>
      </c>
      <c r="O2845" t="str">
        <f>"460006199911111620"</f>
        <v>460006199911111620</v>
      </c>
    </row>
    <row r="2846" customFormat="1" spans="1:15">
      <c r="A2846">
        <v>3805</v>
      </c>
      <c r="B2846" t="s">
        <v>3436</v>
      </c>
      <c r="C2846" t="str">
        <f>"460006199710294029"</f>
        <v>460006199710294029</v>
      </c>
      <c r="D2846" t="str">
        <f>"248030103527"</f>
        <v>248030103527</v>
      </c>
      <c r="L2846">
        <v>3805</v>
      </c>
      <c r="M2846" t="s">
        <v>3436</v>
      </c>
      <c r="N2846" t="str">
        <f>"248030103527"</f>
        <v>248030103527</v>
      </c>
      <c r="O2846" t="str">
        <f>"460006199710294029"</f>
        <v>460006199710294029</v>
      </c>
    </row>
    <row r="2847" customFormat="1" spans="1:15">
      <c r="A2847">
        <v>3806</v>
      </c>
      <c r="B2847" t="s">
        <v>3437</v>
      </c>
      <c r="C2847" t="str">
        <f>"469007200112240848"</f>
        <v>469007200112240848</v>
      </c>
      <c r="L2847">
        <v>3806</v>
      </c>
      <c r="M2847" t="s">
        <v>3437</v>
      </c>
      <c r="O2847" t="str">
        <f>"469007200112240848"</f>
        <v>469007200112240848</v>
      </c>
    </row>
    <row r="2848" customFormat="1" spans="1:15">
      <c r="A2848">
        <v>3807</v>
      </c>
      <c r="B2848" t="s">
        <v>16</v>
      </c>
      <c r="C2848" t="str">
        <f>"460006199712204445"</f>
        <v>460006199712204445</v>
      </c>
      <c r="D2848" t="str">
        <f>"248030200310"</f>
        <v>248030200310</v>
      </c>
      <c r="L2848">
        <v>3807</v>
      </c>
      <c r="M2848" t="s">
        <v>16</v>
      </c>
      <c r="N2848" t="str">
        <f>"248030200310"</f>
        <v>248030200310</v>
      </c>
      <c r="O2848" t="str">
        <f>"460006199712204445"</f>
        <v>460006199712204445</v>
      </c>
    </row>
    <row r="2849" customFormat="1" spans="1:15">
      <c r="A2849">
        <v>3809</v>
      </c>
      <c r="B2849" t="s">
        <v>3438</v>
      </c>
      <c r="C2849" t="str">
        <f>"460036199608134115"</f>
        <v>460036199608134115</v>
      </c>
      <c r="D2849" t="str">
        <f>"248030201528"</f>
        <v>248030201528</v>
      </c>
      <c r="L2849">
        <v>3809</v>
      </c>
      <c r="M2849" t="s">
        <v>3438</v>
      </c>
      <c r="N2849" t="str">
        <f>"248030201528"</f>
        <v>248030201528</v>
      </c>
      <c r="O2849" t="str">
        <f>"460036199608134115"</f>
        <v>460036199608134115</v>
      </c>
    </row>
    <row r="2850" customFormat="1" spans="1:15">
      <c r="A2850">
        <v>3810</v>
      </c>
      <c r="B2850" t="s">
        <v>3439</v>
      </c>
      <c r="C2850" t="str">
        <f>"460026199602182121"</f>
        <v>460026199602182121</v>
      </c>
      <c r="D2850" t="str">
        <f>"248030403804"</f>
        <v>248030403804</v>
      </c>
      <c r="L2850">
        <v>3810</v>
      </c>
      <c r="M2850" t="s">
        <v>3439</v>
      </c>
      <c r="N2850" t="str">
        <f>"248030403804"</f>
        <v>248030403804</v>
      </c>
      <c r="O2850" t="str">
        <f>"460026199602182121"</f>
        <v>460026199602182121</v>
      </c>
    </row>
    <row r="2851" customFormat="1" spans="1:15">
      <c r="A2851">
        <v>3811</v>
      </c>
      <c r="B2851" t="s">
        <v>3440</v>
      </c>
      <c r="C2851" t="str">
        <f>"41300119860512202X"</f>
        <v>41300119860512202X</v>
      </c>
      <c r="L2851">
        <v>3811</v>
      </c>
      <c r="M2851" t="s">
        <v>3440</v>
      </c>
      <c r="O2851" t="str">
        <f>"41300119860512202X"</f>
        <v>41300119860512202X</v>
      </c>
    </row>
    <row r="2852" customFormat="1" spans="1:15">
      <c r="A2852">
        <v>3813</v>
      </c>
      <c r="B2852" t="s">
        <v>3441</v>
      </c>
      <c r="C2852" t="str">
        <f>"46003619941001752X"</f>
        <v>46003619941001752X</v>
      </c>
      <c r="D2852" t="str">
        <f>"248030502030"</f>
        <v>248030502030</v>
      </c>
      <c r="L2852">
        <v>3813</v>
      </c>
      <c r="M2852" t="s">
        <v>3441</v>
      </c>
      <c r="N2852" t="str">
        <f>"248030502030"</f>
        <v>248030502030</v>
      </c>
      <c r="O2852" t="str">
        <f>"46003619941001752X"</f>
        <v>46003619941001752X</v>
      </c>
    </row>
    <row r="2853" customFormat="1" spans="1:15">
      <c r="A2853">
        <v>3814</v>
      </c>
      <c r="B2853" t="s">
        <v>3442</v>
      </c>
      <c r="C2853" t="str">
        <f>"460003199206042421"</f>
        <v>460003199206042421</v>
      </c>
      <c r="D2853" t="str">
        <f>"248030200902"</f>
        <v>248030200902</v>
      </c>
      <c r="L2853">
        <v>3814</v>
      </c>
      <c r="M2853" t="s">
        <v>3442</v>
      </c>
      <c r="N2853" t="str">
        <f>"248030200902"</f>
        <v>248030200902</v>
      </c>
      <c r="O2853" t="str">
        <f>"460003199206042421"</f>
        <v>460003199206042421</v>
      </c>
    </row>
    <row r="2854" customFormat="1" spans="1:15">
      <c r="A2854">
        <v>3815</v>
      </c>
      <c r="B2854" t="s">
        <v>3443</v>
      </c>
      <c r="C2854" t="str">
        <f>"469003199901271224"</f>
        <v>469003199901271224</v>
      </c>
      <c r="D2854" t="str">
        <f>"248030504224"</f>
        <v>248030504224</v>
      </c>
      <c r="L2854">
        <v>3815</v>
      </c>
      <c r="M2854" t="s">
        <v>3443</v>
      </c>
      <c r="N2854" t="str">
        <f>"248030504224"</f>
        <v>248030504224</v>
      </c>
      <c r="O2854" t="str">
        <f>"469003199901271224"</f>
        <v>469003199901271224</v>
      </c>
    </row>
    <row r="2855" customFormat="1" spans="1:15">
      <c r="A2855">
        <v>3816</v>
      </c>
      <c r="B2855" t="s">
        <v>3444</v>
      </c>
      <c r="C2855" t="str">
        <f>"460031199710030820"</f>
        <v>460031199710030820</v>
      </c>
      <c r="D2855" t="str">
        <f>"248030102923"</f>
        <v>248030102923</v>
      </c>
      <c r="L2855">
        <v>3816</v>
      </c>
      <c r="M2855" t="s">
        <v>3444</v>
      </c>
      <c r="N2855" t="str">
        <f>"248030102923"</f>
        <v>248030102923</v>
      </c>
      <c r="O2855" t="str">
        <f>"460031199710030820"</f>
        <v>460031199710030820</v>
      </c>
    </row>
    <row r="2856" customFormat="1" spans="1:15">
      <c r="A2856">
        <v>3817</v>
      </c>
      <c r="B2856" t="s">
        <v>3445</v>
      </c>
      <c r="C2856" t="str">
        <f>"230122199106010811"</f>
        <v>230122199106010811</v>
      </c>
      <c r="D2856" t="str">
        <f>"248030202319"</f>
        <v>248030202319</v>
      </c>
      <c r="L2856">
        <v>3817</v>
      </c>
      <c r="M2856" t="s">
        <v>3445</v>
      </c>
      <c r="N2856" t="str">
        <f>"248030202319"</f>
        <v>248030202319</v>
      </c>
      <c r="O2856" t="str">
        <f>"230122199106010811"</f>
        <v>230122199106010811</v>
      </c>
    </row>
    <row r="2857" customFormat="1" spans="1:15">
      <c r="A2857">
        <v>3819</v>
      </c>
      <c r="B2857" t="s">
        <v>3036</v>
      </c>
      <c r="C2857" t="str">
        <f>"460104200003130023"</f>
        <v>460104200003130023</v>
      </c>
      <c r="D2857" t="str">
        <f>"248030300213"</f>
        <v>248030300213</v>
      </c>
      <c r="L2857">
        <v>3819</v>
      </c>
      <c r="M2857" t="s">
        <v>3036</v>
      </c>
      <c r="N2857" t="str">
        <f>"248030300213"</f>
        <v>248030300213</v>
      </c>
      <c r="O2857" t="str">
        <f>"460104200003130023"</f>
        <v>460104200003130023</v>
      </c>
    </row>
    <row r="2858" customFormat="1" spans="1:15">
      <c r="A2858">
        <v>3820</v>
      </c>
      <c r="B2858" t="s">
        <v>3446</v>
      </c>
      <c r="C2858" t="str">
        <f>"500234199706203576"</f>
        <v>500234199706203576</v>
      </c>
      <c r="D2858" t="str">
        <f>"248030202209"</f>
        <v>248030202209</v>
      </c>
      <c r="L2858">
        <v>3820</v>
      </c>
      <c r="M2858" t="s">
        <v>3446</v>
      </c>
      <c r="N2858" t="str">
        <f>"248030202209"</f>
        <v>248030202209</v>
      </c>
      <c r="O2858" t="str">
        <f>"500234199706203576"</f>
        <v>500234199706203576</v>
      </c>
    </row>
    <row r="2859" customFormat="1" spans="1:15">
      <c r="A2859">
        <v>3821</v>
      </c>
      <c r="B2859" t="s">
        <v>3447</v>
      </c>
      <c r="C2859" t="str">
        <f>"460002199804250523"</f>
        <v>460002199804250523</v>
      </c>
      <c r="D2859" t="str">
        <f>"248030402926"</f>
        <v>248030402926</v>
      </c>
      <c r="L2859">
        <v>3821</v>
      </c>
      <c r="M2859" t="s">
        <v>3447</v>
      </c>
      <c r="N2859" t="str">
        <f>"248030402926"</f>
        <v>248030402926</v>
      </c>
      <c r="O2859" t="str">
        <f>"460002199804250523"</f>
        <v>460002199804250523</v>
      </c>
    </row>
    <row r="2860" customFormat="1" spans="1:15">
      <c r="A2860">
        <v>3822</v>
      </c>
      <c r="B2860" t="s">
        <v>3448</v>
      </c>
      <c r="C2860" t="str">
        <f>"460030199712150029"</f>
        <v>460030199712150029</v>
      </c>
      <c r="D2860" t="str">
        <f>"248030502219"</f>
        <v>248030502219</v>
      </c>
      <c r="L2860">
        <v>3822</v>
      </c>
      <c r="M2860" t="s">
        <v>3448</v>
      </c>
      <c r="N2860" t="str">
        <f>"248030502219"</f>
        <v>248030502219</v>
      </c>
      <c r="O2860" t="str">
        <f>"460030199712150029"</f>
        <v>460030199712150029</v>
      </c>
    </row>
    <row r="2861" customFormat="1" spans="1:15">
      <c r="A2861">
        <v>3823</v>
      </c>
      <c r="B2861" t="s">
        <v>3449</v>
      </c>
      <c r="C2861" t="str">
        <f>"460007199611175362"</f>
        <v>460007199611175362</v>
      </c>
      <c r="D2861" t="str">
        <f>"248030500409"</f>
        <v>248030500409</v>
      </c>
      <c r="L2861">
        <v>3823</v>
      </c>
      <c r="M2861" t="s">
        <v>3449</v>
      </c>
      <c r="N2861" t="str">
        <f>"248030500409"</f>
        <v>248030500409</v>
      </c>
      <c r="O2861" t="str">
        <f>"460007199611175362"</f>
        <v>460007199611175362</v>
      </c>
    </row>
    <row r="2862" customFormat="1" spans="1:15">
      <c r="A2862">
        <v>3827</v>
      </c>
      <c r="B2862" t="s">
        <v>3450</v>
      </c>
      <c r="C2862" t="str">
        <f>"460103199906072125"</f>
        <v>460103199906072125</v>
      </c>
      <c r="D2862" t="str">
        <f>"248030102022"</f>
        <v>248030102022</v>
      </c>
      <c r="L2862">
        <v>3827</v>
      </c>
      <c r="M2862" t="s">
        <v>3450</v>
      </c>
      <c r="N2862" t="str">
        <f>"248030102022"</f>
        <v>248030102022</v>
      </c>
      <c r="O2862" t="str">
        <f>"460103199906072125"</f>
        <v>460103199906072125</v>
      </c>
    </row>
    <row r="2863" customFormat="1" spans="1:15">
      <c r="A2863">
        <v>3828</v>
      </c>
      <c r="B2863" t="s">
        <v>3451</v>
      </c>
      <c r="C2863" t="str">
        <f>"445122200112302721"</f>
        <v>445122200112302721</v>
      </c>
      <c r="D2863" t="str">
        <f>"248030403128"</f>
        <v>248030403128</v>
      </c>
      <c r="L2863">
        <v>3828</v>
      </c>
      <c r="M2863" t="s">
        <v>3451</v>
      </c>
      <c r="N2863" t="str">
        <f>"248030403128"</f>
        <v>248030403128</v>
      </c>
      <c r="O2863" t="str">
        <f>"445122200112302721"</f>
        <v>445122200112302721</v>
      </c>
    </row>
    <row r="2864" customFormat="1" spans="1:15">
      <c r="A2864">
        <v>3829</v>
      </c>
      <c r="B2864" t="s">
        <v>3452</v>
      </c>
      <c r="C2864" t="str">
        <f>"460004199812064432"</f>
        <v>460004199812064432</v>
      </c>
      <c r="D2864" t="str">
        <f>"248030201201"</f>
        <v>248030201201</v>
      </c>
      <c r="L2864">
        <v>3829</v>
      </c>
      <c r="M2864" t="s">
        <v>3452</v>
      </c>
      <c r="N2864" t="str">
        <f>"248030201201"</f>
        <v>248030201201</v>
      </c>
      <c r="O2864" t="str">
        <f>"460004199812064432"</f>
        <v>460004199812064432</v>
      </c>
    </row>
    <row r="2865" customFormat="1" spans="1:15">
      <c r="A2865">
        <v>3832</v>
      </c>
      <c r="B2865" t="s">
        <v>3453</v>
      </c>
      <c r="C2865" t="str">
        <f>"460001199606020747"</f>
        <v>460001199606020747</v>
      </c>
      <c r="D2865" t="str">
        <f>"248030202809"</f>
        <v>248030202809</v>
      </c>
      <c r="L2865">
        <v>3832</v>
      </c>
      <c r="M2865" t="s">
        <v>3453</v>
      </c>
      <c r="N2865" t="str">
        <f>"248030202809"</f>
        <v>248030202809</v>
      </c>
      <c r="O2865" t="str">
        <f>"460001199606020747"</f>
        <v>460001199606020747</v>
      </c>
    </row>
    <row r="2866" customFormat="1" spans="1:15">
      <c r="A2866">
        <v>3833</v>
      </c>
      <c r="B2866" t="s">
        <v>3454</v>
      </c>
      <c r="C2866" t="str">
        <f>"460003199605202840"</f>
        <v>460003199605202840</v>
      </c>
      <c r="D2866" t="str">
        <f>"248030203326"</f>
        <v>248030203326</v>
      </c>
      <c r="L2866">
        <v>3833</v>
      </c>
      <c r="M2866" t="s">
        <v>3454</v>
      </c>
      <c r="N2866" t="str">
        <f>"248030203326"</f>
        <v>248030203326</v>
      </c>
      <c r="O2866" t="str">
        <f>"460003199605202840"</f>
        <v>460003199605202840</v>
      </c>
    </row>
    <row r="2867" customFormat="1" spans="1:15">
      <c r="A2867">
        <v>3834</v>
      </c>
      <c r="B2867" t="s">
        <v>3455</v>
      </c>
      <c r="C2867" t="str">
        <f>"460004199310155107"</f>
        <v>460004199310155107</v>
      </c>
      <c r="L2867">
        <v>3834</v>
      </c>
      <c r="M2867" t="s">
        <v>3455</v>
      </c>
      <c r="O2867" t="str">
        <f>"460004199310155107"</f>
        <v>460004199310155107</v>
      </c>
    </row>
    <row r="2868" customFormat="1" spans="1:15">
      <c r="A2868">
        <v>3835</v>
      </c>
      <c r="B2868" t="s">
        <v>3456</v>
      </c>
      <c r="C2868" t="str">
        <f>"460033200111014472"</f>
        <v>460033200111014472</v>
      </c>
      <c r="D2868" t="str">
        <f>"248030302529"</f>
        <v>248030302529</v>
      </c>
      <c r="L2868">
        <v>3835</v>
      </c>
      <c r="M2868" t="s">
        <v>3456</v>
      </c>
      <c r="N2868" t="str">
        <f>"248030302529"</f>
        <v>248030302529</v>
      </c>
      <c r="O2868" t="str">
        <f>"460033200111014472"</f>
        <v>460033200111014472</v>
      </c>
    </row>
    <row r="2869" customFormat="1" spans="1:15">
      <c r="A2869">
        <v>3836</v>
      </c>
      <c r="B2869" t="s">
        <v>3457</v>
      </c>
      <c r="C2869" t="str">
        <f>"460031200004290014"</f>
        <v>460031200004290014</v>
      </c>
      <c r="L2869">
        <v>3836</v>
      </c>
      <c r="M2869" t="s">
        <v>3457</v>
      </c>
      <c r="O2869" t="str">
        <f>"460031200004290014"</f>
        <v>460031200004290014</v>
      </c>
    </row>
    <row r="2870" customFormat="1" spans="1:15">
      <c r="A2870">
        <v>3837</v>
      </c>
      <c r="B2870" t="s">
        <v>3458</v>
      </c>
      <c r="C2870" t="str">
        <f>"460028200106270411"</f>
        <v>460028200106270411</v>
      </c>
      <c r="L2870">
        <v>3837</v>
      </c>
      <c r="M2870" t="s">
        <v>3458</v>
      </c>
      <c r="O2870" t="str">
        <f>"460028200106270411"</f>
        <v>460028200106270411</v>
      </c>
    </row>
    <row r="2871" customFormat="1" spans="1:15">
      <c r="A2871">
        <v>3838</v>
      </c>
      <c r="B2871" t="s">
        <v>3459</v>
      </c>
      <c r="C2871" t="str">
        <f>"46000719930303500X"</f>
        <v>46000719930303500X</v>
      </c>
      <c r="D2871" t="str">
        <f>"248030201011"</f>
        <v>248030201011</v>
      </c>
      <c r="L2871">
        <v>3838</v>
      </c>
      <c r="M2871" t="s">
        <v>3459</v>
      </c>
      <c r="N2871" t="str">
        <f>"248030201011"</f>
        <v>248030201011</v>
      </c>
      <c r="O2871" t="str">
        <f>"46000719930303500X"</f>
        <v>46000719930303500X</v>
      </c>
    </row>
    <row r="2872" customFormat="1" spans="1:15">
      <c r="A2872">
        <v>3839</v>
      </c>
      <c r="B2872" t="s">
        <v>562</v>
      </c>
      <c r="C2872" t="str">
        <f>"430921198507032229"</f>
        <v>430921198507032229</v>
      </c>
      <c r="D2872" t="str">
        <f>"248030302108"</f>
        <v>248030302108</v>
      </c>
      <c r="L2872">
        <v>3839</v>
      </c>
      <c r="M2872" t="s">
        <v>562</v>
      </c>
      <c r="N2872" t="str">
        <f>"248030302108"</f>
        <v>248030302108</v>
      </c>
      <c r="O2872" t="str">
        <f>"430921198507032229"</f>
        <v>430921198507032229</v>
      </c>
    </row>
    <row r="2873" customFormat="1" spans="1:15">
      <c r="A2873">
        <v>3840</v>
      </c>
      <c r="B2873" t="s">
        <v>3460</v>
      </c>
      <c r="C2873" t="str">
        <f>"460003199603102846"</f>
        <v>460003199603102846</v>
      </c>
      <c r="L2873">
        <v>3840</v>
      </c>
      <c r="M2873" t="s">
        <v>3460</v>
      </c>
      <c r="O2873" t="str">
        <f>"460003199603102846"</f>
        <v>460003199603102846</v>
      </c>
    </row>
    <row r="2874" customFormat="1" spans="1:15">
      <c r="A2874">
        <v>3841</v>
      </c>
      <c r="B2874" t="s">
        <v>3461</v>
      </c>
      <c r="C2874" t="str">
        <f>"469003199912296427"</f>
        <v>469003199912296427</v>
      </c>
      <c r="L2874">
        <v>3841</v>
      </c>
      <c r="M2874" t="s">
        <v>3461</v>
      </c>
      <c r="O2874" t="str">
        <f>"469003199912296427"</f>
        <v>469003199912296427</v>
      </c>
    </row>
    <row r="2875" customFormat="1" spans="1:15">
      <c r="A2875">
        <v>3842</v>
      </c>
      <c r="B2875" t="s">
        <v>3462</v>
      </c>
      <c r="C2875" t="str">
        <f>"460005199901280029"</f>
        <v>460005199901280029</v>
      </c>
      <c r="D2875" t="str">
        <f>"248030104117"</f>
        <v>248030104117</v>
      </c>
      <c r="L2875">
        <v>3842</v>
      </c>
      <c r="M2875" t="s">
        <v>3462</v>
      </c>
      <c r="N2875" t="str">
        <f>"248030104117"</f>
        <v>248030104117</v>
      </c>
      <c r="O2875" t="str">
        <f>"460005199901280029"</f>
        <v>460005199901280029</v>
      </c>
    </row>
    <row r="2876" customFormat="1" spans="1:15">
      <c r="A2876">
        <v>3843</v>
      </c>
      <c r="B2876" t="s">
        <v>3463</v>
      </c>
      <c r="C2876" t="str">
        <f>"460006199804272744"</f>
        <v>460006199804272744</v>
      </c>
      <c r="D2876" t="str">
        <f>"248030503930"</f>
        <v>248030503930</v>
      </c>
      <c r="L2876">
        <v>3843</v>
      </c>
      <c r="M2876" t="s">
        <v>3463</v>
      </c>
      <c r="N2876" t="str">
        <f>"248030503930"</f>
        <v>248030503930</v>
      </c>
      <c r="O2876" t="str">
        <f>"460006199804272744"</f>
        <v>460006199804272744</v>
      </c>
    </row>
    <row r="2877" customFormat="1" spans="1:15">
      <c r="A2877">
        <v>3844</v>
      </c>
      <c r="B2877" t="s">
        <v>3464</v>
      </c>
      <c r="C2877" t="str">
        <f>"460004199706240826"</f>
        <v>460004199706240826</v>
      </c>
      <c r="D2877" t="str">
        <f>"248030503221"</f>
        <v>248030503221</v>
      </c>
      <c r="L2877">
        <v>3844</v>
      </c>
      <c r="M2877" t="s">
        <v>3464</v>
      </c>
      <c r="N2877" t="str">
        <f>"248030503221"</f>
        <v>248030503221</v>
      </c>
      <c r="O2877" t="str">
        <f>"460004199706240826"</f>
        <v>460004199706240826</v>
      </c>
    </row>
    <row r="2878" customFormat="1" spans="1:15">
      <c r="A2878">
        <v>3847</v>
      </c>
      <c r="B2878" t="s">
        <v>3465</v>
      </c>
      <c r="C2878" t="str">
        <f>"440881200105311025"</f>
        <v>440881200105311025</v>
      </c>
      <c r="D2878" t="str">
        <f>"248030202211"</f>
        <v>248030202211</v>
      </c>
      <c r="L2878">
        <v>3847</v>
      </c>
      <c r="M2878" t="s">
        <v>3465</v>
      </c>
      <c r="N2878" t="str">
        <f>"248030202211"</f>
        <v>248030202211</v>
      </c>
      <c r="O2878" t="str">
        <f>"440881200105311025"</f>
        <v>440881200105311025</v>
      </c>
    </row>
    <row r="2879" customFormat="1" spans="1:15">
      <c r="A2879">
        <v>3848</v>
      </c>
      <c r="B2879" t="s">
        <v>670</v>
      </c>
      <c r="C2879" t="str">
        <f>"469023200204270622"</f>
        <v>469023200204270622</v>
      </c>
      <c r="D2879" t="str">
        <f>"248030404012"</f>
        <v>248030404012</v>
      </c>
      <c r="L2879">
        <v>3848</v>
      </c>
      <c r="M2879" t="s">
        <v>670</v>
      </c>
      <c r="N2879" t="str">
        <f>"248030404012"</f>
        <v>248030404012</v>
      </c>
      <c r="O2879" t="str">
        <f>"469023200204270622"</f>
        <v>469023200204270622</v>
      </c>
    </row>
    <row r="2880" customFormat="1" spans="1:15">
      <c r="A2880">
        <v>3850</v>
      </c>
      <c r="B2880" t="s">
        <v>3466</v>
      </c>
      <c r="C2880" t="str">
        <f>"460007200208160027"</f>
        <v>460007200208160027</v>
      </c>
      <c r="D2880" t="str">
        <f>"248030103224"</f>
        <v>248030103224</v>
      </c>
      <c r="L2880">
        <v>3850</v>
      </c>
      <c r="M2880" t="s">
        <v>3466</v>
      </c>
      <c r="N2880" t="str">
        <f>"248030103224"</f>
        <v>248030103224</v>
      </c>
      <c r="O2880" t="str">
        <f>"460007200208160027"</f>
        <v>460007200208160027</v>
      </c>
    </row>
    <row r="2881" customFormat="1" spans="1:15">
      <c r="A2881">
        <v>3851</v>
      </c>
      <c r="B2881" t="s">
        <v>3467</v>
      </c>
      <c r="C2881" t="str">
        <f>"46003019890704212X"</f>
        <v>46003019890704212X</v>
      </c>
      <c r="D2881" t="str">
        <f>"248030403513"</f>
        <v>248030403513</v>
      </c>
      <c r="L2881">
        <v>3851</v>
      </c>
      <c r="M2881" t="s">
        <v>3467</v>
      </c>
      <c r="N2881" t="str">
        <f>"248030403513"</f>
        <v>248030403513</v>
      </c>
      <c r="O2881" t="str">
        <f>"46003019890704212X"</f>
        <v>46003019890704212X</v>
      </c>
    </row>
    <row r="2882" customFormat="1" spans="1:15">
      <c r="A2882">
        <v>3852</v>
      </c>
      <c r="B2882" t="s">
        <v>3468</v>
      </c>
      <c r="C2882" t="str">
        <f>"460005200110262727"</f>
        <v>460005200110262727</v>
      </c>
      <c r="D2882" t="str">
        <f>"248030102523"</f>
        <v>248030102523</v>
      </c>
      <c r="L2882">
        <v>3852</v>
      </c>
      <c r="M2882" t="s">
        <v>3468</v>
      </c>
      <c r="N2882" t="str">
        <f>"248030102523"</f>
        <v>248030102523</v>
      </c>
      <c r="O2882" t="str">
        <f>"460005200110262727"</f>
        <v>460005200110262727</v>
      </c>
    </row>
    <row r="2883" customFormat="1" spans="1:15">
      <c r="A2883">
        <v>3854</v>
      </c>
      <c r="B2883" t="s">
        <v>3469</v>
      </c>
      <c r="C2883" t="str">
        <f>"46000320020523542X"</f>
        <v>46000320020523542X</v>
      </c>
      <c r="D2883" t="str">
        <f>"248030201729"</f>
        <v>248030201729</v>
      </c>
      <c r="L2883">
        <v>3854</v>
      </c>
      <c r="M2883" t="s">
        <v>3469</v>
      </c>
      <c r="N2883" t="str">
        <f>"248030201729"</f>
        <v>248030201729</v>
      </c>
      <c r="O2883" t="str">
        <f>"46000320020523542X"</f>
        <v>46000320020523542X</v>
      </c>
    </row>
    <row r="2884" customFormat="1" spans="1:15">
      <c r="A2884">
        <v>3855</v>
      </c>
      <c r="B2884" t="s">
        <v>2126</v>
      </c>
      <c r="C2884" t="str">
        <f>"460102199109071529"</f>
        <v>460102199109071529</v>
      </c>
      <c r="L2884">
        <v>3855</v>
      </c>
      <c r="M2884" t="s">
        <v>2126</v>
      </c>
      <c r="O2884" t="str">
        <f>"460102199109071529"</f>
        <v>460102199109071529</v>
      </c>
    </row>
    <row r="2885" customFormat="1" spans="1:15">
      <c r="A2885">
        <v>3856</v>
      </c>
      <c r="B2885" t="s">
        <v>3470</v>
      </c>
      <c r="C2885" t="str">
        <f>"460006199609114820"</f>
        <v>460006199609114820</v>
      </c>
      <c r="D2885" t="str">
        <f>"248030100502"</f>
        <v>248030100502</v>
      </c>
      <c r="L2885">
        <v>3856</v>
      </c>
      <c r="M2885" t="s">
        <v>3470</v>
      </c>
      <c r="N2885" t="str">
        <f>"248030100502"</f>
        <v>248030100502</v>
      </c>
      <c r="O2885" t="str">
        <f>"460006199609114820"</f>
        <v>460006199609114820</v>
      </c>
    </row>
    <row r="2886" customFormat="1" spans="1:15">
      <c r="A2886">
        <v>3859</v>
      </c>
      <c r="B2886" t="s">
        <v>3471</v>
      </c>
      <c r="C2886" t="str">
        <f>"460104200205310022"</f>
        <v>460104200205310022</v>
      </c>
      <c r="D2886" t="str">
        <f>"248030300624"</f>
        <v>248030300624</v>
      </c>
      <c r="L2886">
        <v>3859</v>
      </c>
      <c r="M2886" t="s">
        <v>3471</v>
      </c>
      <c r="N2886" t="str">
        <f>"248030300624"</f>
        <v>248030300624</v>
      </c>
      <c r="O2886" t="str">
        <f>"460104200205310022"</f>
        <v>460104200205310022</v>
      </c>
    </row>
    <row r="2887" customFormat="1" spans="1:15">
      <c r="A2887">
        <v>3860</v>
      </c>
      <c r="B2887" t="s">
        <v>3472</v>
      </c>
      <c r="C2887" t="str">
        <f>"460200199207152720"</f>
        <v>460200199207152720</v>
      </c>
      <c r="D2887" t="str">
        <f>"248030501401"</f>
        <v>248030501401</v>
      </c>
      <c r="L2887">
        <v>3860</v>
      </c>
      <c r="M2887" t="s">
        <v>3472</v>
      </c>
      <c r="N2887" t="str">
        <f>"248030501401"</f>
        <v>248030501401</v>
      </c>
      <c r="O2887" t="str">
        <f>"460200199207152720"</f>
        <v>460200199207152720</v>
      </c>
    </row>
    <row r="2888" customFormat="1" spans="1:15">
      <c r="A2888">
        <v>3861</v>
      </c>
      <c r="B2888" t="s">
        <v>3473</v>
      </c>
      <c r="C2888" t="str">
        <f>"460003200010020621"</f>
        <v>460003200010020621</v>
      </c>
      <c r="D2888" t="str">
        <f>"248030203123"</f>
        <v>248030203123</v>
      </c>
      <c r="L2888">
        <v>3861</v>
      </c>
      <c r="M2888" t="s">
        <v>3473</v>
      </c>
      <c r="N2888" t="str">
        <f>"248030203123"</f>
        <v>248030203123</v>
      </c>
      <c r="O2888" t="str">
        <f>"460003200010020621"</f>
        <v>460003200010020621</v>
      </c>
    </row>
    <row r="2889" customFormat="1" spans="1:15">
      <c r="A2889">
        <v>3862</v>
      </c>
      <c r="B2889" t="s">
        <v>3474</v>
      </c>
      <c r="C2889" t="str">
        <f>"460003199405242020"</f>
        <v>460003199405242020</v>
      </c>
      <c r="D2889" t="str">
        <f>"248030402528"</f>
        <v>248030402528</v>
      </c>
      <c r="L2889">
        <v>3862</v>
      </c>
      <c r="M2889" t="s">
        <v>3474</v>
      </c>
      <c r="N2889" t="str">
        <f>"248030402528"</f>
        <v>248030402528</v>
      </c>
      <c r="O2889" t="str">
        <f>"460003199405242020"</f>
        <v>460003199405242020</v>
      </c>
    </row>
    <row r="2890" customFormat="1" spans="1:15">
      <c r="A2890">
        <v>3863</v>
      </c>
      <c r="B2890" t="s">
        <v>3475</v>
      </c>
      <c r="C2890" t="str">
        <f>"460007199712087644"</f>
        <v>460007199712087644</v>
      </c>
      <c r="D2890" t="str">
        <f>"248030302310"</f>
        <v>248030302310</v>
      </c>
      <c r="L2890">
        <v>3863</v>
      </c>
      <c r="M2890" t="s">
        <v>3475</v>
      </c>
      <c r="N2890" t="str">
        <f>"248030302310"</f>
        <v>248030302310</v>
      </c>
      <c r="O2890" t="str">
        <f>"460007199712087644"</f>
        <v>460007199712087644</v>
      </c>
    </row>
    <row r="2891" customFormat="1" spans="1:15">
      <c r="A2891">
        <v>3866</v>
      </c>
      <c r="B2891" t="s">
        <v>3476</v>
      </c>
      <c r="C2891" t="str">
        <f>"460006199604253143"</f>
        <v>460006199604253143</v>
      </c>
      <c r="D2891" t="str">
        <f>"248030203004"</f>
        <v>248030203004</v>
      </c>
      <c r="L2891">
        <v>3866</v>
      </c>
      <c r="M2891" t="s">
        <v>3476</v>
      </c>
      <c r="N2891" t="str">
        <f>"248030203004"</f>
        <v>248030203004</v>
      </c>
      <c r="O2891" t="str">
        <f>"460006199604253143"</f>
        <v>460006199604253143</v>
      </c>
    </row>
    <row r="2892" customFormat="1" spans="1:15">
      <c r="A2892">
        <v>3867</v>
      </c>
      <c r="B2892" t="s">
        <v>3477</v>
      </c>
      <c r="C2892" t="str">
        <f>"460033199604117167"</f>
        <v>460033199604117167</v>
      </c>
      <c r="L2892">
        <v>3867</v>
      </c>
      <c r="M2892" t="s">
        <v>3477</v>
      </c>
      <c r="O2892" t="str">
        <f>"460033199604117167"</f>
        <v>460033199604117167</v>
      </c>
    </row>
    <row r="2893" customFormat="1" spans="1:15">
      <c r="A2893">
        <v>3868</v>
      </c>
      <c r="B2893" t="s">
        <v>3478</v>
      </c>
      <c r="C2893" t="str">
        <f>"469024200110160840"</f>
        <v>469024200110160840</v>
      </c>
      <c r="D2893" t="str">
        <f>"248030103706"</f>
        <v>248030103706</v>
      </c>
      <c r="L2893">
        <v>3868</v>
      </c>
      <c r="M2893" t="s">
        <v>3478</v>
      </c>
      <c r="N2893" t="str">
        <f>"248030103706"</f>
        <v>248030103706</v>
      </c>
      <c r="O2893" t="str">
        <f>"469024200110160840"</f>
        <v>469024200110160840</v>
      </c>
    </row>
    <row r="2894" customFormat="1" spans="1:15">
      <c r="A2894">
        <v>3872</v>
      </c>
      <c r="B2894" t="s">
        <v>3479</v>
      </c>
      <c r="C2894" t="str">
        <f>"440825199904093726"</f>
        <v>440825199904093726</v>
      </c>
      <c r="D2894" t="str">
        <f>"248030501519"</f>
        <v>248030501519</v>
      </c>
      <c r="L2894">
        <v>3872</v>
      </c>
      <c r="M2894" t="s">
        <v>3479</v>
      </c>
      <c r="N2894" t="str">
        <f>"248030501519"</f>
        <v>248030501519</v>
      </c>
      <c r="O2894" t="str">
        <f>"440825199904093726"</f>
        <v>440825199904093726</v>
      </c>
    </row>
    <row r="2895" customFormat="1" spans="1:15">
      <c r="A2895">
        <v>3873</v>
      </c>
      <c r="B2895" t="s">
        <v>3480</v>
      </c>
      <c r="C2895" t="str">
        <f>"460028199804151625"</f>
        <v>460028199804151625</v>
      </c>
      <c r="D2895" t="str">
        <f>"248030301013"</f>
        <v>248030301013</v>
      </c>
      <c r="L2895">
        <v>3873</v>
      </c>
      <c r="M2895" t="s">
        <v>3480</v>
      </c>
      <c r="N2895" t="str">
        <f>"248030301013"</f>
        <v>248030301013</v>
      </c>
      <c r="O2895" t="str">
        <f>"460028199804151625"</f>
        <v>460028199804151625</v>
      </c>
    </row>
    <row r="2896" customFormat="1" spans="1:15">
      <c r="A2896">
        <v>3876</v>
      </c>
      <c r="B2896" t="s">
        <v>3481</v>
      </c>
      <c r="C2896" t="str">
        <f>"460200199610073344"</f>
        <v>460200199610073344</v>
      </c>
      <c r="D2896" t="str">
        <f>"248030500721"</f>
        <v>248030500721</v>
      </c>
      <c r="L2896">
        <v>3876</v>
      </c>
      <c r="M2896" t="s">
        <v>3481</v>
      </c>
      <c r="N2896" t="str">
        <f>"248030500721"</f>
        <v>248030500721</v>
      </c>
      <c r="O2896" t="str">
        <f>"460200199610073344"</f>
        <v>460200199610073344</v>
      </c>
    </row>
    <row r="2897" customFormat="1" spans="1:15">
      <c r="A2897">
        <v>3877</v>
      </c>
      <c r="B2897" t="s">
        <v>3482</v>
      </c>
      <c r="C2897" t="str">
        <f>"460006199903084626"</f>
        <v>460006199903084626</v>
      </c>
      <c r="D2897" t="str">
        <f>"248030501411"</f>
        <v>248030501411</v>
      </c>
      <c r="L2897">
        <v>3877</v>
      </c>
      <c r="M2897" t="s">
        <v>3482</v>
      </c>
      <c r="N2897" t="str">
        <f>"248030501411"</f>
        <v>248030501411</v>
      </c>
      <c r="O2897" t="str">
        <f>"460006199903084626"</f>
        <v>460006199903084626</v>
      </c>
    </row>
    <row r="2898" customFormat="1" spans="1:15">
      <c r="A2898">
        <v>3878</v>
      </c>
      <c r="B2898" t="s">
        <v>3483</v>
      </c>
      <c r="C2898" t="str">
        <f>"46000419971126382X"</f>
        <v>46000419971126382X</v>
      </c>
      <c r="L2898">
        <v>3878</v>
      </c>
      <c r="M2898" t="s">
        <v>3483</v>
      </c>
      <c r="O2898" t="str">
        <f>"46000419971126382X"</f>
        <v>46000419971126382X</v>
      </c>
    </row>
    <row r="2899" customFormat="1" spans="1:15">
      <c r="A2899">
        <v>3879</v>
      </c>
      <c r="B2899" t="s">
        <v>3484</v>
      </c>
      <c r="C2899" t="str">
        <f>"460002200108050523"</f>
        <v>460002200108050523</v>
      </c>
      <c r="L2899">
        <v>3879</v>
      </c>
      <c r="M2899" t="s">
        <v>3484</v>
      </c>
      <c r="O2899" t="str">
        <f>"460002200108050523"</f>
        <v>460002200108050523</v>
      </c>
    </row>
    <row r="2900" customFormat="1" spans="1:15">
      <c r="A2900">
        <v>3880</v>
      </c>
      <c r="B2900" t="s">
        <v>3485</v>
      </c>
      <c r="C2900" t="str">
        <f>"460027200112253726"</f>
        <v>460027200112253726</v>
      </c>
      <c r="D2900" t="str">
        <f>"248030100904"</f>
        <v>248030100904</v>
      </c>
      <c r="L2900">
        <v>3880</v>
      </c>
      <c r="M2900" t="s">
        <v>3485</v>
      </c>
      <c r="N2900" t="str">
        <f>"248030100904"</f>
        <v>248030100904</v>
      </c>
      <c r="O2900" t="str">
        <f>"460027200112253726"</f>
        <v>460027200112253726</v>
      </c>
    </row>
    <row r="2901" customFormat="1" spans="1:15">
      <c r="A2901">
        <v>3882</v>
      </c>
      <c r="B2901" t="s">
        <v>3486</v>
      </c>
      <c r="C2901" t="str">
        <f>"460200200202035723"</f>
        <v>460200200202035723</v>
      </c>
      <c r="D2901" t="str">
        <f>"248030402601"</f>
        <v>248030402601</v>
      </c>
      <c r="L2901">
        <v>3882</v>
      </c>
      <c r="M2901" t="s">
        <v>3486</v>
      </c>
      <c r="N2901" t="str">
        <f>"248030402601"</f>
        <v>248030402601</v>
      </c>
      <c r="O2901" t="str">
        <f>"460200200202035723"</f>
        <v>460200200202035723</v>
      </c>
    </row>
    <row r="2902" customFormat="1" spans="1:15">
      <c r="A2902">
        <v>3883</v>
      </c>
      <c r="B2902" t="s">
        <v>3487</v>
      </c>
      <c r="C2902" t="str">
        <f>"431228199304030620"</f>
        <v>431228199304030620</v>
      </c>
      <c r="L2902">
        <v>3883</v>
      </c>
      <c r="M2902" t="s">
        <v>3487</v>
      </c>
      <c r="O2902" t="str">
        <f>"431228199304030620"</f>
        <v>431228199304030620</v>
      </c>
    </row>
    <row r="2903" customFormat="1" spans="1:15">
      <c r="A2903">
        <v>3885</v>
      </c>
      <c r="B2903" t="s">
        <v>3488</v>
      </c>
      <c r="C2903" t="str">
        <f>"460027200203140612"</f>
        <v>460027200203140612</v>
      </c>
      <c r="D2903" t="str">
        <f>"248030201417"</f>
        <v>248030201417</v>
      </c>
      <c r="L2903">
        <v>3885</v>
      </c>
      <c r="M2903" t="s">
        <v>3488</v>
      </c>
      <c r="N2903" t="str">
        <f>"248030201417"</f>
        <v>248030201417</v>
      </c>
      <c r="O2903" t="str">
        <f>"460027200203140612"</f>
        <v>460027200203140612</v>
      </c>
    </row>
    <row r="2904" customFormat="1" spans="1:15">
      <c r="A2904">
        <v>3886</v>
      </c>
      <c r="B2904" t="s">
        <v>3489</v>
      </c>
      <c r="C2904" t="str">
        <f>"46003319970730001X"</f>
        <v>46003319970730001X</v>
      </c>
      <c r="D2904" t="str">
        <f>"248030201105"</f>
        <v>248030201105</v>
      </c>
      <c r="L2904">
        <v>3886</v>
      </c>
      <c r="M2904" t="s">
        <v>3489</v>
      </c>
      <c r="N2904" t="str">
        <f>"248030201105"</f>
        <v>248030201105</v>
      </c>
      <c r="O2904" t="str">
        <f>"46003319970730001X"</f>
        <v>46003319970730001X</v>
      </c>
    </row>
    <row r="2905" customFormat="1" spans="1:15">
      <c r="A2905">
        <v>3890</v>
      </c>
      <c r="B2905" t="s">
        <v>3490</v>
      </c>
      <c r="C2905" t="str">
        <f>"460007199802120823"</f>
        <v>460007199802120823</v>
      </c>
      <c r="D2905" t="str">
        <f>"248030504009"</f>
        <v>248030504009</v>
      </c>
      <c r="L2905">
        <v>3890</v>
      </c>
      <c r="M2905" t="s">
        <v>3490</v>
      </c>
      <c r="N2905" t="str">
        <f>"248030504009"</f>
        <v>248030504009</v>
      </c>
      <c r="O2905" t="str">
        <f>"460007199802120823"</f>
        <v>460007199802120823</v>
      </c>
    </row>
    <row r="2906" customFormat="1" spans="1:15">
      <c r="A2906">
        <v>3891</v>
      </c>
      <c r="B2906" t="s">
        <v>185</v>
      </c>
      <c r="C2906" t="str">
        <f>"460006200012254826"</f>
        <v>460006200012254826</v>
      </c>
      <c r="D2906" t="str">
        <f>"248030502318"</f>
        <v>248030502318</v>
      </c>
      <c r="L2906">
        <v>3891</v>
      </c>
      <c r="M2906" t="s">
        <v>185</v>
      </c>
      <c r="N2906" t="str">
        <f>"248030502318"</f>
        <v>248030502318</v>
      </c>
      <c r="O2906" t="str">
        <f>"460006200012254826"</f>
        <v>460006200012254826</v>
      </c>
    </row>
    <row r="2907" customFormat="1" spans="1:15">
      <c r="A2907">
        <v>3892</v>
      </c>
      <c r="B2907" t="s">
        <v>3491</v>
      </c>
      <c r="C2907" t="str">
        <f>"460004199712040222"</f>
        <v>460004199712040222</v>
      </c>
      <c r="D2907" t="str">
        <f>"248030402413"</f>
        <v>248030402413</v>
      </c>
      <c r="L2907">
        <v>3892</v>
      </c>
      <c r="M2907" t="s">
        <v>3491</v>
      </c>
      <c r="N2907" t="str">
        <f>"248030402413"</f>
        <v>248030402413</v>
      </c>
      <c r="O2907" t="str">
        <f>"460004199712040222"</f>
        <v>460004199712040222</v>
      </c>
    </row>
    <row r="2908" customFormat="1" spans="1:15">
      <c r="A2908">
        <v>3893</v>
      </c>
      <c r="B2908" t="s">
        <v>3492</v>
      </c>
      <c r="C2908" t="str">
        <f>"420102200105140820"</f>
        <v>420102200105140820</v>
      </c>
      <c r="D2908" t="str">
        <f>"248030202615"</f>
        <v>248030202615</v>
      </c>
      <c r="L2908">
        <v>3893</v>
      </c>
      <c r="M2908" t="s">
        <v>3492</v>
      </c>
      <c r="N2908" t="str">
        <f>"248030202615"</f>
        <v>248030202615</v>
      </c>
      <c r="O2908" t="str">
        <f>"420102200105140820"</f>
        <v>420102200105140820</v>
      </c>
    </row>
    <row r="2909" customFormat="1" spans="1:15">
      <c r="A2909">
        <v>3894</v>
      </c>
      <c r="B2909" t="s">
        <v>3493</v>
      </c>
      <c r="C2909" t="str">
        <f>"511922200005273855"</f>
        <v>511922200005273855</v>
      </c>
      <c r="D2909" t="str">
        <f>"248030103117"</f>
        <v>248030103117</v>
      </c>
      <c r="L2909">
        <v>3894</v>
      </c>
      <c r="M2909" t="s">
        <v>3493</v>
      </c>
      <c r="N2909" t="str">
        <f>"248030103117"</f>
        <v>248030103117</v>
      </c>
      <c r="O2909" t="str">
        <f>"511922200005273855"</f>
        <v>511922200005273855</v>
      </c>
    </row>
    <row r="2910" customFormat="1" spans="1:15">
      <c r="A2910">
        <v>3898</v>
      </c>
      <c r="B2910" t="s">
        <v>3494</v>
      </c>
      <c r="C2910" t="str">
        <f>"460103198912010348"</f>
        <v>460103198912010348</v>
      </c>
      <c r="D2910" t="str">
        <f>"248030402313"</f>
        <v>248030402313</v>
      </c>
      <c r="L2910">
        <v>3898</v>
      </c>
      <c r="M2910" t="s">
        <v>3494</v>
      </c>
      <c r="N2910" t="str">
        <f>"248030402313"</f>
        <v>248030402313</v>
      </c>
      <c r="O2910" t="str">
        <f>"460103198912010348"</f>
        <v>460103198912010348</v>
      </c>
    </row>
    <row r="2911" customFormat="1" spans="1:15">
      <c r="A2911">
        <v>3900</v>
      </c>
      <c r="B2911" t="s">
        <v>3495</v>
      </c>
      <c r="C2911" t="str">
        <f>"460006199001201643"</f>
        <v>460006199001201643</v>
      </c>
      <c r="D2911" t="str">
        <f>"248030301317"</f>
        <v>248030301317</v>
      </c>
      <c r="L2911">
        <v>3900</v>
      </c>
      <c r="M2911" t="s">
        <v>3495</v>
      </c>
      <c r="N2911" t="str">
        <f>"248030301317"</f>
        <v>248030301317</v>
      </c>
      <c r="O2911" t="str">
        <f>"460006199001201643"</f>
        <v>460006199001201643</v>
      </c>
    </row>
    <row r="2912" customFormat="1" spans="1:15">
      <c r="A2912">
        <v>3901</v>
      </c>
      <c r="B2912" t="s">
        <v>3496</v>
      </c>
      <c r="C2912" t="str">
        <f>"469027199712084789"</f>
        <v>469027199712084789</v>
      </c>
      <c r="D2912" t="str">
        <f>"248030302019"</f>
        <v>248030302019</v>
      </c>
      <c r="L2912">
        <v>3901</v>
      </c>
      <c r="M2912" t="s">
        <v>3496</v>
      </c>
      <c r="N2912" t="str">
        <f>"248030302019"</f>
        <v>248030302019</v>
      </c>
      <c r="O2912" t="str">
        <f>"469027199712084789"</f>
        <v>469027199712084789</v>
      </c>
    </row>
    <row r="2913" customFormat="1" spans="1:15">
      <c r="A2913">
        <v>3903</v>
      </c>
      <c r="B2913" t="s">
        <v>3497</v>
      </c>
      <c r="C2913" t="str">
        <f>"220182200108246625"</f>
        <v>220182200108246625</v>
      </c>
      <c r="D2913" t="str">
        <f>"248030302329"</f>
        <v>248030302329</v>
      </c>
      <c r="L2913">
        <v>3903</v>
      </c>
      <c r="M2913" t="s">
        <v>3497</v>
      </c>
      <c r="N2913" t="str">
        <f>"248030302329"</f>
        <v>248030302329</v>
      </c>
      <c r="O2913" t="str">
        <f>"220182200108246625"</f>
        <v>220182200108246625</v>
      </c>
    </row>
    <row r="2914" customFormat="1" spans="1:15">
      <c r="A2914">
        <v>3905</v>
      </c>
      <c r="B2914" t="s">
        <v>3498</v>
      </c>
      <c r="C2914" t="str">
        <f>"460003200011132633"</f>
        <v>460003200011132633</v>
      </c>
      <c r="D2914" t="str">
        <f>"248030202222"</f>
        <v>248030202222</v>
      </c>
      <c r="L2914">
        <v>3905</v>
      </c>
      <c r="M2914" t="s">
        <v>3498</v>
      </c>
      <c r="N2914" t="str">
        <f>"248030202222"</f>
        <v>248030202222</v>
      </c>
      <c r="O2914" t="str">
        <f>"460003200011132633"</f>
        <v>460003200011132633</v>
      </c>
    </row>
    <row r="2915" customFormat="1" spans="1:15">
      <c r="A2915">
        <v>3906</v>
      </c>
      <c r="B2915" t="s">
        <v>3499</v>
      </c>
      <c r="C2915" t="str">
        <f>"130524200102102037"</f>
        <v>130524200102102037</v>
      </c>
      <c r="D2915" t="str">
        <f>"248030202205"</f>
        <v>248030202205</v>
      </c>
      <c r="L2915">
        <v>3906</v>
      </c>
      <c r="M2915" t="s">
        <v>3499</v>
      </c>
      <c r="N2915" t="str">
        <f>"248030202205"</f>
        <v>248030202205</v>
      </c>
      <c r="O2915" t="str">
        <f>"130524200102102037"</f>
        <v>130524200102102037</v>
      </c>
    </row>
    <row r="2916" customFormat="1" spans="1:15">
      <c r="A2916">
        <v>3907</v>
      </c>
      <c r="B2916" t="s">
        <v>3500</v>
      </c>
      <c r="C2916" t="str">
        <f>"230381198907166847"</f>
        <v>230381198907166847</v>
      </c>
      <c r="D2916" t="str">
        <f>"248030500126"</f>
        <v>248030500126</v>
      </c>
      <c r="L2916">
        <v>3907</v>
      </c>
      <c r="M2916" t="s">
        <v>3500</v>
      </c>
      <c r="N2916" t="str">
        <f>"248030500126"</f>
        <v>248030500126</v>
      </c>
      <c r="O2916" t="str">
        <f>"230381198907166847"</f>
        <v>230381198907166847</v>
      </c>
    </row>
    <row r="2917" customFormat="1" spans="1:15">
      <c r="A2917">
        <v>3908</v>
      </c>
      <c r="B2917" t="s">
        <v>3501</v>
      </c>
      <c r="C2917" t="str">
        <f>"142201199901259185"</f>
        <v>142201199901259185</v>
      </c>
      <c r="D2917" t="str">
        <f>"248030203109"</f>
        <v>248030203109</v>
      </c>
      <c r="L2917">
        <v>3908</v>
      </c>
      <c r="M2917" t="s">
        <v>3501</v>
      </c>
      <c r="N2917" t="str">
        <f>"248030203109"</f>
        <v>248030203109</v>
      </c>
      <c r="O2917" t="str">
        <f>"142201199901259185"</f>
        <v>142201199901259185</v>
      </c>
    </row>
    <row r="2918" customFormat="1" spans="1:15">
      <c r="A2918">
        <v>3909</v>
      </c>
      <c r="B2918" t="s">
        <v>3502</v>
      </c>
      <c r="C2918" t="str">
        <f>"460033199506084808"</f>
        <v>460033199506084808</v>
      </c>
      <c r="D2918" t="str">
        <f>"248030400106"</f>
        <v>248030400106</v>
      </c>
      <c r="L2918">
        <v>3909</v>
      </c>
      <c r="M2918" t="s">
        <v>3502</v>
      </c>
      <c r="N2918" t="str">
        <f>"248030400106"</f>
        <v>248030400106</v>
      </c>
      <c r="O2918" t="str">
        <f>"460033199506084808"</f>
        <v>460033199506084808</v>
      </c>
    </row>
    <row r="2919" customFormat="1" spans="1:15">
      <c r="A2919">
        <v>3910</v>
      </c>
      <c r="B2919" t="s">
        <v>3503</v>
      </c>
      <c r="C2919" t="str">
        <f>"460031199206266420"</f>
        <v>460031199206266420</v>
      </c>
      <c r="L2919">
        <v>3910</v>
      </c>
      <c r="M2919" t="s">
        <v>3503</v>
      </c>
      <c r="O2919" t="str">
        <f>"460031199206266420"</f>
        <v>460031199206266420</v>
      </c>
    </row>
    <row r="2920" customFormat="1" spans="1:15">
      <c r="A2920">
        <v>3912</v>
      </c>
      <c r="B2920" t="s">
        <v>282</v>
      </c>
      <c r="C2920" t="str">
        <f>"230502199707200721"</f>
        <v>230502199707200721</v>
      </c>
      <c r="D2920" t="str">
        <f>"248030500909"</f>
        <v>248030500909</v>
      </c>
      <c r="L2920">
        <v>3912</v>
      </c>
      <c r="M2920" t="s">
        <v>282</v>
      </c>
      <c r="N2920" t="str">
        <f>"248030500909"</f>
        <v>248030500909</v>
      </c>
      <c r="O2920" t="str">
        <f>"230502199707200721"</f>
        <v>230502199707200721</v>
      </c>
    </row>
    <row r="2921" customFormat="1" spans="1:15">
      <c r="A2921">
        <v>3913</v>
      </c>
      <c r="B2921" t="s">
        <v>956</v>
      </c>
      <c r="C2921" t="str">
        <f>"460027199906144729"</f>
        <v>460027199906144729</v>
      </c>
      <c r="D2921" t="str">
        <f>"248030500114"</f>
        <v>248030500114</v>
      </c>
      <c r="L2921">
        <v>3913</v>
      </c>
      <c r="M2921" t="s">
        <v>956</v>
      </c>
      <c r="N2921" t="str">
        <f>"248030500114"</f>
        <v>248030500114</v>
      </c>
      <c r="O2921" t="str">
        <f>"460027199906144729"</f>
        <v>460027199906144729</v>
      </c>
    </row>
    <row r="2922" customFormat="1" spans="1:15">
      <c r="A2922">
        <v>3916</v>
      </c>
      <c r="B2922" t="s">
        <v>3504</v>
      </c>
      <c r="C2922" t="str">
        <f>"460200199907035349"</f>
        <v>460200199907035349</v>
      </c>
      <c r="L2922">
        <v>3916</v>
      </c>
      <c r="M2922" t="s">
        <v>3504</v>
      </c>
      <c r="O2922" t="str">
        <f>"460200199907035349"</f>
        <v>460200199907035349</v>
      </c>
    </row>
    <row r="2923" customFormat="1" spans="1:15">
      <c r="A2923">
        <v>3917</v>
      </c>
      <c r="B2923" t="s">
        <v>3505</v>
      </c>
      <c r="C2923" t="str">
        <f>"432503199606010369"</f>
        <v>432503199606010369</v>
      </c>
      <c r="L2923">
        <v>3917</v>
      </c>
      <c r="M2923" t="s">
        <v>3505</v>
      </c>
      <c r="O2923" t="str">
        <f>"432503199606010369"</f>
        <v>432503199606010369</v>
      </c>
    </row>
    <row r="2924" customFormat="1" spans="1:15">
      <c r="A2924">
        <v>3918</v>
      </c>
      <c r="B2924" t="s">
        <v>3506</v>
      </c>
      <c r="C2924" t="str">
        <f>"460102199108013028"</f>
        <v>460102199108013028</v>
      </c>
      <c r="D2924" t="str">
        <f>"248030203127"</f>
        <v>248030203127</v>
      </c>
      <c r="L2924">
        <v>3918</v>
      </c>
      <c r="M2924" t="s">
        <v>3506</v>
      </c>
      <c r="N2924" t="str">
        <f>"248030203127"</f>
        <v>248030203127</v>
      </c>
      <c r="O2924" t="str">
        <f>"460102199108013028"</f>
        <v>460102199108013028</v>
      </c>
    </row>
    <row r="2925" customFormat="1" spans="1:15">
      <c r="A2925">
        <v>3919</v>
      </c>
      <c r="B2925" t="s">
        <v>3507</v>
      </c>
      <c r="C2925" t="str">
        <f>"460006200009132369"</f>
        <v>460006200009132369</v>
      </c>
      <c r="D2925" t="str">
        <f>"248030404309"</f>
        <v>248030404309</v>
      </c>
      <c r="L2925">
        <v>3919</v>
      </c>
      <c r="M2925" t="s">
        <v>3507</v>
      </c>
      <c r="N2925" t="str">
        <f>"248030404309"</f>
        <v>248030404309</v>
      </c>
      <c r="O2925" t="str">
        <f>"460006200009132369"</f>
        <v>460006200009132369</v>
      </c>
    </row>
    <row r="2926" customFormat="1" spans="1:15">
      <c r="A2926">
        <v>3920</v>
      </c>
      <c r="B2926" t="s">
        <v>3508</v>
      </c>
      <c r="C2926" t="str">
        <f>"469003199710087926"</f>
        <v>469003199710087926</v>
      </c>
      <c r="D2926" t="str">
        <f>"248030404023"</f>
        <v>248030404023</v>
      </c>
      <c r="L2926">
        <v>3920</v>
      </c>
      <c r="M2926" t="s">
        <v>3508</v>
      </c>
      <c r="N2926" t="str">
        <f>"248030404023"</f>
        <v>248030404023</v>
      </c>
      <c r="O2926" t="str">
        <f>"469003199710087926"</f>
        <v>469003199710087926</v>
      </c>
    </row>
    <row r="2927" customFormat="1" spans="1:15">
      <c r="A2927">
        <v>3921</v>
      </c>
      <c r="B2927" t="s">
        <v>3509</v>
      </c>
      <c r="C2927" t="str">
        <f>"460006198910284437"</f>
        <v>460006198910284437</v>
      </c>
      <c r="D2927" t="str">
        <f>"248030201108"</f>
        <v>248030201108</v>
      </c>
      <c r="L2927">
        <v>3921</v>
      </c>
      <c r="M2927" t="s">
        <v>3509</v>
      </c>
      <c r="N2927" t="str">
        <f>"248030201108"</f>
        <v>248030201108</v>
      </c>
      <c r="O2927" t="str">
        <f>"460006198910284437"</f>
        <v>460006198910284437</v>
      </c>
    </row>
    <row r="2928" customFormat="1" spans="1:15">
      <c r="A2928">
        <v>3923</v>
      </c>
      <c r="B2928" t="s">
        <v>3510</v>
      </c>
      <c r="C2928" t="str">
        <f>"460200199210310523"</f>
        <v>460200199210310523</v>
      </c>
      <c r="D2928" t="str">
        <f>"248030203405"</f>
        <v>248030203405</v>
      </c>
      <c r="L2928">
        <v>3923</v>
      </c>
      <c r="M2928" t="s">
        <v>3510</v>
      </c>
      <c r="N2928" t="str">
        <f>"248030203405"</f>
        <v>248030203405</v>
      </c>
      <c r="O2928" t="str">
        <f>"460200199210310523"</f>
        <v>460200199210310523</v>
      </c>
    </row>
    <row r="2929" customFormat="1" spans="1:15">
      <c r="A2929">
        <v>3924</v>
      </c>
      <c r="B2929" t="s">
        <v>3511</v>
      </c>
      <c r="C2929" t="str">
        <f>"460003200012033864"</f>
        <v>460003200012033864</v>
      </c>
      <c r="D2929" t="str">
        <f>"248030203225"</f>
        <v>248030203225</v>
      </c>
      <c r="L2929">
        <v>3924</v>
      </c>
      <c r="M2929" t="s">
        <v>3511</v>
      </c>
      <c r="N2929" t="str">
        <f>"248030203225"</f>
        <v>248030203225</v>
      </c>
      <c r="O2929" t="str">
        <f>"460003200012033864"</f>
        <v>460003200012033864</v>
      </c>
    </row>
    <row r="2930" customFormat="1" spans="1:15">
      <c r="A2930">
        <v>3925</v>
      </c>
      <c r="B2930" t="s">
        <v>3512</v>
      </c>
      <c r="C2930" t="str">
        <f>"460003199004083460"</f>
        <v>460003199004083460</v>
      </c>
      <c r="D2930" t="str">
        <f>"248030403814"</f>
        <v>248030403814</v>
      </c>
      <c r="L2930">
        <v>3925</v>
      </c>
      <c r="M2930" t="s">
        <v>3512</v>
      </c>
      <c r="N2930" t="str">
        <f>"248030403814"</f>
        <v>248030403814</v>
      </c>
      <c r="O2930" t="str">
        <f>"460003199004083460"</f>
        <v>460003199004083460</v>
      </c>
    </row>
    <row r="2931" customFormat="1" spans="1:15">
      <c r="A2931">
        <v>3926</v>
      </c>
      <c r="B2931" t="s">
        <v>3513</v>
      </c>
      <c r="C2931" t="str">
        <f>"460004199710073450"</f>
        <v>460004199710073450</v>
      </c>
      <c r="D2931" t="str">
        <f>"248030402414"</f>
        <v>248030402414</v>
      </c>
      <c r="L2931">
        <v>3926</v>
      </c>
      <c r="M2931" t="s">
        <v>3513</v>
      </c>
      <c r="N2931" t="str">
        <f>"248030402414"</f>
        <v>248030402414</v>
      </c>
      <c r="O2931" t="str">
        <f>"460004199710073450"</f>
        <v>460004199710073450</v>
      </c>
    </row>
    <row r="2932" customFormat="1" spans="1:15">
      <c r="A2932">
        <v>3927</v>
      </c>
      <c r="B2932" t="s">
        <v>579</v>
      </c>
      <c r="C2932" t="str">
        <f>"460006200004164425"</f>
        <v>460006200004164425</v>
      </c>
      <c r="D2932" t="str">
        <f>"248030302807"</f>
        <v>248030302807</v>
      </c>
      <c r="L2932">
        <v>3927</v>
      </c>
      <c r="M2932" t="s">
        <v>579</v>
      </c>
      <c r="N2932" t="str">
        <f>"248030302807"</f>
        <v>248030302807</v>
      </c>
      <c r="O2932" t="str">
        <f>"460006200004164425"</f>
        <v>460006200004164425</v>
      </c>
    </row>
    <row r="2933" customFormat="1" spans="1:15">
      <c r="A2933">
        <v>3928</v>
      </c>
      <c r="B2933" t="s">
        <v>3514</v>
      </c>
      <c r="C2933" t="str">
        <f>"460025200008231524"</f>
        <v>460025200008231524</v>
      </c>
      <c r="D2933" t="str">
        <f>"248030503917"</f>
        <v>248030503917</v>
      </c>
      <c r="L2933">
        <v>3928</v>
      </c>
      <c r="M2933" t="s">
        <v>3514</v>
      </c>
      <c r="N2933" t="str">
        <f>"248030503917"</f>
        <v>248030503917</v>
      </c>
      <c r="O2933" t="str">
        <f>"460025200008231524"</f>
        <v>460025200008231524</v>
      </c>
    </row>
    <row r="2934" customFormat="1" spans="1:15">
      <c r="A2934">
        <v>3929</v>
      </c>
      <c r="B2934" t="s">
        <v>3515</v>
      </c>
      <c r="C2934" t="str">
        <f>"46000619950508206X"</f>
        <v>46000619950508206X</v>
      </c>
      <c r="D2934" t="str">
        <f>"248030202510"</f>
        <v>248030202510</v>
      </c>
      <c r="L2934">
        <v>3929</v>
      </c>
      <c r="M2934" t="s">
        <v>3515</v>
      </c>
      <c r="N2934" t="str">
        <f>"248030202510"</f>
        <v>248030202510</v>
      </c>
      <c r="O2934" t="str">
        <f>"46000619950508206X"</f>
        <v>46000619950508206X</v>
      </c>
    </row>
    <row r="2935" customFormat="1" spans="1:15">
      <c r="A2935">
        <v>3930</v>
      </c>
      <c r="B2935" t="s">
        <v>3516</v>
      </c>
      <c r="C2935" t="str">
        <f>"420281199712080044"</f>
        <v>420281199712080044</v>
      </c>
      <c r="L2935">
        <v>3930</v>
      </c>
      <c r="M2935" t="s">
        <v>3516</v>
      </c>
      <c r="O2935" t="str">
        <f>"420281199712080044"</f>
        <v>420281199712080044</v>
      </c>
    </row>
    <row r="2936" customFormat="1" spans="1:15">
      <c r="A2936">
        <v>3932</v>
      </c>
      <c r="B2936" t="s">
        <v>3517</v>
      </c>
      <c r="C2936" t="str">
        <f>"460027199502224415"</f>
        <v>460027199502224415</v>
      </c>
      <c r="D2936" t="str">
        <f>"248030201714"</f>
        <v>248030201714</v>
      </c>
      <c r="L2936">
        <v>3932</v>
      </c>
      <c r="M2936" t="s">
        <v>3517</v>
      </c>
      <c r="N2936" t="str">
        <f>"248030201714"</f>
        <v>248030201714</v>
      </c>
      <c r="O2936" t="str">
        <f>"460027199502224415"</f>
        <v>460027199502224415</v>
      </c>
    </row>
    <row r="2937" customFormat="1" spans="1:15">
      <c r="A2937">
        <v>3933</v>
      </c>
      <c r="B2937" t="s">
        <v>3518</v>
      </c>
      <c r="C2937" t="str">
        <f>"460001198908010726"</f>
        <v>460001198908010726</v>
      </c>
      <c r="D2937" t="str">
        <f>"248030101611"</f>
        <v>248030101611</v>
      </c>
      <c r="L2937">
        <v>3933</v>
      </c>
      <c r="M2937" t="s">
        <v>3518</v>
      </c>
      <c r="N2937" t="str">
        <f>"248030101611"</f>
        <v>248030101611</v>
      </c>
      <c r="O2937" t="str">
        <f>"460001198908010726"</f>
        <v>460001198908010726</v>
      </c>
    </row>
    <row r="2938" customFormat="1" spans="1:15">
      <c r="A2938">
        <v>3935</v>
      </c>
      <c r="B2938" t="s">
        <v>3519</v>
      </c>
      <c r="C2938" t="str">
        <f>"46002719940506101X"</f>
        <v>46002719940506101X</v>
      </c>
      <c r="D2938" t="str">
        <f>"248030202115"</f>
        <v>248030202115</v>
      </c>
      <c r="L2938">
        <v>3935</v>
      </c>
      <c r="M2938" t="s">
        <v>3519</v>
      </c>
      <c r="N2938" t="str">
        <f>"248030202115"</f>
        <v>248030202115</v>
      </c>
      <c r="O2938" t="str">
        <f>"46002719940506101X"</f>
        <v>46002719940506101X</v>
      </c>
    </row>
    <row r="2939" customFormat="1" spans="1:15">
      <c r="A2939">
        <v>3936</v>
      </c>
      <c r="B2939" t="s">
        <v>3520</v>
      </c>
      <c r="C2939" t="str">
        <f>"460033200112283228"</f>
        <v>460033200112283228</v>
      </c>
      <c r="D2939" t="str">
        <f>"248030401816"</f>
        <v>248030401816</v>
      </c>
      <c r="L2939">
        <v>3936</v>
      </c>
      <c r="M2939" t="s">
        <v>3520</v>
      </c>
      <c r="N2939" t="str">
        <f>"248030401816"</f>
        <v>248030401816</v>
      </c>
      <c r="O2939" t="str">
        <f>"460033200112283228"</f>
        <v>460033200112283228</v>
      </c>
    </row>
    <row r="2940" customFormat="1" spans="1:15">
      <c r="A2940">
        <v>3937</v>
      </c>
      <c r="B2940" t="s">
        <v>3521</v>
      </c>
      <c r="C2940" t="str">
        <f>"460025199408101520"</f>
        <v>460025199408101520</v>
      </c>
      <c r="D2940" t="str">
        <f>"248030101911"</f>
        <v>248030101911</v>
      </c>
      <c r="L2940">
        <v>3937</v>
      </c>
      <c r="M2940" t="s">
        <v>3521</v>
      </c>
      <c r="N2940" t="str">
        <f>"248030101911"</f>
        <v>248030101911</v>
      </c>
      <c r="O2940" t="str">
        <f>"460025199408101520"</f>
        <v>460025199408101520</v>
      </c>
    </row>
    <row r="2941" customFormat="1" spans="1:15">
      <c r="A2941">
        <v>3941</v>
      </c>
      <c r="B2941" t="s">
        <v>3522</v>
      </c>
      <c r="C2941" t="str">
        <f>"469027200110298347"</f>
        <v>469027200110298347</v>
      </c>
      <c r="L2941">
        <v>3941</v>
      </c>
      <c r="M2941" t="s">
        <v>3522</v>
      </c>
      <c r="O2941" t="str">
        <f>"469027200110298347"</f>
        <v>469027200110298347</v>
      </c>
    </row>
    <row r="2942" customFormat="1" spans="1:15">
      <c r="A2942">
        <v>3942</v>
      </c>
      <c r="B2942" t="s">
        <v>3523</v>
      </c>
      <c r="C2942" t="str">
        <f>"460004199808164625"</f>
        <v>460004199808164625</v>
      </c>
      <c r="D2942" t="str">
        <f>"248030103301"</f>
        <v>248030103301</v>
      </c>
      <c r="L2942">
        <v>3942</v>
      </c>
      <c r="M2942" t="s">
        <v>3523</v>
      </c>
      <c r="N2942" t="str">
        <f>"248030103301"</f>
        <v>248030103301</v>
      </c>
      <c r="O2942" t="str">
        <f>"460004199808164625"</f>
        <v>460004199808164625</v>
      </c>
    </row>
    <row r="2943" customFormat="1" spans="1:15">
      <c r="A2943">
        <v>3943</v>
      </c>
      <c r="B2943" t="s">
        <v>3524</v>
      </c>
      <c r="C2943" t="str">
        <f>"46010219901102242X"</f>
        <v>46010219901102242X</v>
      </c>
      <c r="D2943" t="str">
        <f>"248030100302"</f>
        <v>248030100302</v>
      </c>
      <c r="L2943">
        <v>3943</v>
      </c>
      <c r="M2943" t="s">
        <v>3524</v>
      </c>
      <c r="N2943" t="str">
        <f>"248030100302"</f>
        <v>248030100302</v>
      </c>
      <c r="O2943" t="str">
        <f>"46010219901102242X"</f>
        <v>46010219901102242X</v>
      </c>
    </row>
    <row r="2944" customFormat="1" spans="1:15">
      <c r="A2944">
        <v>3944</v>
      </c>
      <c r="B2944" t="s">
        <v>3525</v>
      </c>
      <c r="C2944" t="str">
        <f>"46002619970216211X"</f>
        <v>46002619970216211X</v>
      </c>
      <c r="L2944">
        <v>3944</v>
      </c>
      <c r="M2944" t="s">
        <v>3525</v>
      </c>
      <c r="O2944" t="str">
        <f>"46002619970216211X"</f>
        <v>46002619970216211X</v>
      </c>
    </row>
    <row r="2945" customFormat="1" spans="1:15">
      <c r="A2945">
        <v>3945</v>
      </c>
      <c r="B2945" t="s">
        <v>3526</v>
      </c>
      <c r="C2945" t="str">
        <f>"460028199208080461"</f>
        <v>460028199208080461</v>
      </c>
      <c r="L2945">
        <v>3945</v>
      </c>
      <c r="M2945" t="s">
        <v>3526</v>
      </c>
      <c r="O2945" t="str">
        <f>"460028199208080461"</f>
        <v>460028199208080461</v>
      </c>
    </row>
    <row r="2946" customFormat="1" spans="1:15">
      <c r="A2946">
        <v>3946</v>
      </c>
      <c r="B2946" t="s">
        <v>3527</v>
      </c>
      <c r="C2946" t="str">
        <f>"460103200109253025"</f>
        <v>460103200109253025</v>
      </c>
      <c r="D2946" t="str">
        <f>"248030101903"</f>
        <v>248030101903</v>
      </c>
      <c r="L2946">
        <v>3946</v>
      </c>
      <c r="M2946" t="s">
        <v>3527</v>
      </c>
      <c r="N2946" t="str">
        <f>"248030101903"</f>
        <v>248030101903</v>
      </c>
      <c r="O2946" t="str">
        <f>"460103200109253025"</f>
        <v>460103200109253025</v>
      </c>
    </row>
    <row r="2947" customFormat="1" spans="1:15">
      <c r="A2947">
        <v>3947</v>
      </c>
      <c r="B2947" t="s">
        <v>3528</v>
      </c>
      <c r="C2947" t="str">
        <f>"460031199212160868"</f>
        <v>460031199212160868</v>
      </c>
      <c r="D2947" t="str">
        <f>"248030400314"</f>
        <v>248030400314</v>
      </c>
      <c r="L2947">
        <v>3947</v>
      </c>
      <c r="M2947" t="s">
        <v>3528</v>
      </c>
      <c r="N2947" t="str">
        <f>"248030400314"</f>
        <v>248030400314</v>
      </c>
      <c r="O2947" t="str">
        <f>"460031199212160868"</f>
        <v>460031199212160868</v>
      </c>
    </row>
    <row r="2948" customFormat="1" spans="1:15">
      <c r="A2948">
        <v>3948</v>
      </c>
      <c r="B2948" t="s">
        <v>3529</v>
      </c>
      <c r="C2948" t="str">
        <f>"460033199108015102"</f>
        <v>460033199108015102</v>
      </c>
      <c r="D2948" t="str">
        <f>"248030501818"</f>
        <v>248030501818</v>
      </c>
      <c r="L2948">
        <v>3948</v>
      </c>
      <c r="M2948" t="s">
        <v>3529</v>
      </c>
      <c r="N2948" t="str">
        <f>"248030501818"</f>
        <v>248030501818</v>
      </c>
      <c r="O2948" t="str">
        <f>"460033199108015102"</f>
        <v>460033199108015102</v>
      </c>
    </row>
    <row r="2949" customFormat="1" spans="1:15">
      <c r="A2949">
        <v>3950</v>
      </c>
      <c r="B2949" t="s">
        <v>392</v>
      </c>
      <c r="C2949" t="str">
        <f>"460107199905192016"</f>
        <v>460107199905192016</v>
      </c>
      <c r="D2949" t="str">
        <f>"248030402330"</f>
        <v>248030402330</v>
      </c>
      <c r="L2949">
        <v>3950</v>
      </c>
      <c r="M2949" t="s">
        <v>392</v>
      </c>
      <c r="N2949" t="str">
        <f>"248030402330"</f>
        <v>248030402330</v>
      </c>
      <c r="O2949" t="str">
        <f>"460107199905192016"</f>
        <v>460107199905192016</v>
      </c>
    </row>
    <row r="2950" customFormat="1" spans="1:15">
      <c r="A2950">
        <v>3951</v>
      </c>
      <c r="B2950" t="s">
        <v>3530</v>
      </c>
      <c r="C2950" t="str">
        <f>"460300199110170645"</f>
        <v>460300199110170645</v>
      </c>
      <c r="L2950">
        <v>3951</v>
      </c>
      <c r="M2950" t="s">
        <v>3530</v>
      </c>
      <c r="O2950" t="str">
        <f>"460300199110170645"</f>
        <v>460300199110170645</v>
      </c>
    </row>
    <row r="2951" customFormat="1" spans="1:15">
      <c r="A2951">
        <v>3953</v>
      </c>
      <c r="B2951" t="s">
        <v>3531</v>
      </c>
      <c r="C2951" t="str">
        <f>"460003199703201622"</f>
        <v>460003199703201622</v>
      </c>
      <c r="D2951" t="str">
        <f>"248030101416"</f>
        <v>248030101416</v>
      </c>
      <c r="L2951">
        <v>3953</v>
      </c>
      <c r="M2951" t="s">
        <v>3531</v>
      </c>
      <c r="N2951" t="str">
        <f>"248030101416"</f>
        <v>248030101416</v>
      </c>
      <c r="O2951" t="str">
        <f>"460003199703201622"</f>
        <v>460003199703201622</v>
      </c>
    </row>
    <row r="2952" customFormat="1" spans="1:15">
      <c r="A2952">
        <v>3954</v>
      </c>
      <c r="B2952" t="s">
        <v>3532</v>
      </c>
      <c r="C2952" t="str">
        <f>"460002200207084921"</f>
        <v>460002200207084921</v>
      </c>
      <c r="D2952" t="str">
        <f>"248030503705"</f>
        <v>248030503705</v>
      </c>
      <c r="L2952">
        <v>3954</v>
      </c>
      <c r="M2952" t="s">
        <v>3532</v>
      </c>
      <c r="N2952" t="str">
        <f>"248030503705"</f>
        <v>248030503705</v>
      </c>
      <c r="O2952" t="str">
        <f>"460002200207084921"</f>
        <v>460002200207084921</v>
      </c>
    </row>
    <row r="2953" customFormat="1" spans="1:15">
      <c r="A2953">
        <v>3955</v>
      </c>
      <c r="B2953" t="s">
        <v>617</v>
      </c>
      <c r="C2953" t="str">
        <f>"460004199912135226"</f>
        <v>460004199912135226</v>
      </c>
      <c r="D2953" t="str">
        <f>"248030104010"</f>
        <v>248030104010</v>
      </c>
      <c r="L2953">
        <v>3955</v>
      </c>
      <c r="M2953" t="s">
        <v>617</v>
      </c>
      <c r="N2953" t="str">
        <f>"248030104010"</f>
        <v>248030104010</v>
      </c>
      <c r="O2953" t="str">
        <f>"460004199912135226"</f>
        <v>460004199912135226</v>
      </c>
    </row>
    <row r="2954" customFormat="1" spans="1:15">
      <c r="A2954">
        <v>3956</v>
      </c>
      <c r="B2954" t="s">
        <v>3533</v>
      </c>
      <c r="C2954" t="str">
        <f>"460006199909208124"</f>
        <v>460006199909208124</v>
      </c>
      <c r="D2954" t="str">
        <f>"248030200425"</f>
        <v>248030200425</v>
      </c>
      <c r="L2954">
        <v>3956</v>
      </c>
      <c r="M2954" t="s">
        <v>3533</v>
      </c>
      <c r="N2954" t="str">
        <f>"248030200425"</f>
        <v>248030200425</v>
      </c>
      <c r="O2954" t="str">
        <f>"460006199909208124"</f>
        <v>460006199909208124</v>
      </c>
    </row>
    <row r="2955" customFormat="1" spans="1:15">
      <c r="A2955">
        <v>3958</v>
      </c>
      <c r="B2955" t="s">
        <v>3534</v>
      </c>
      <c r="C2955" t="str">
        <f>"460025200102104222"</f>
        <v>460025200102104222</v>
      </c>
      <c r="D2955" t="str">
        <f>"248030101721"</f>
        <v>248030101721</v>
      </c>
      <c r="L2955">
        <v>3958</v>
      </c>
      <c r="M2955" t="s">
        <v>3534</v>
      </c>
      <c r="N2955" t="str">
        <f>"248030101721"</f>
        <v>248030101721</v>
      </c>
      <c r="O2955" t="str">
        <f>"460025200102104222"</f>
        <v>460025200102104222</v>
      </c>
    </row>
    <row r="2956" customFormat="1" spans="1:15">
      <c r="A2956">
        <v>3959</v>
      </c>
      <c r="B2956" t="s">
        <v>3111</v>
      </c>
      <c r="C2956" t="str">
        <f>"460106199907034429"</f>
        <v>460106199907034429</v>
      </c>
      <c r="D2956" t="str">
        <f>"248030400602"</f>
        <v>248030400602</v>
      </c>
      <c r="L2956">
        <v>3959</v>
      </c>
      <c r="M2956" t="s">
        <v>3111</v>
      </c>
      <c r="N2956" t="str">
        <f>"248030400602"</f>
        <v>248030400602</v>
      </c>
      <c r="O2956" t="str">
        <f>"460106199907034429"</f>
        <v>460106199907034429</v>
      </c>
    </row>
    <row r="2957" customFormat="1" spans="1:15">
      <c r="A2957">
        <v>3960</v>
      </c>
      <c r="B2957" t="s">
        <v>3535</v>
      </c>
      <c r="C2957" t="str">
        <f>"469003199907136728"</f>
        <v>469003199907136728</v>
      </c>
      <c r="L2957">
        <v>3960</v>
      </c>
      <c r="M2957" t="s">
        <v>3535</v>
      </c>
      <c r="O2957" t="str">
        <f>"469003199907136728"</f>
        <v>469003199907136728</v>
      </c>
    </row>
    <row r="2958" customFormat="1" spans="1:15">
      <c r="A2958">
        <v>3961</v>
      </c>
      <c r="B2958" t="s">
        <v>3536</v>
      </c>
      <c r="C2958" t="str">
        <f>"460004199908064015"</f>
        <v>460004199908064015</v>
      </c>
      <c r="D2958" t="str">
        <f>"248030302505"</f>
        <v>248030302505</v>
      </c>
      <c r="L2958">
        <v>3961</v>
      </c>
      <c r="M2958" t="s">
        <v>3536</v>
      </c>
      <c r="N2958" t="str">
        <f>"248030302505"</f>
        <v>248030302505</v>
      </c>
      <c r="O2958" t="str">
        <f>"460004199908064015"</f>
        <v>460004199908064015</v>
      </c>
    </row>
    <row r="2959" customFormat="1" spans="1:15">
      <c r="A2959">
        <v>3963</v>
      </c>
      <c r="B2959" t="s">
        <v>3537</v>
      </c>
      <c r="C2959" t="str">
        <f>"460025199801253029"</f>
        <v>460025199801253029</v>
      </c>
      <c r="D2959" t="str">
        <f>"248030501030"</f>
        <v>248030501030</v>
      </c>
      <c r="L2959">
        <v>3963</v>
      </c>
      <c r="M2959" t="s">
        <v>3537</v>
      </c>
      <c r="N2959" t="str">
        <f>"248030501030"</f>
        <v>248030501030</v>
      </c>
      <c r="O2959" t="str">
        <f>"460025199801253029"</f>
        <v>460025199801253029</v>
      </c>
    </row>
    <row r="2960" customFormat="1" spans="1:15">
      <c r="A2960">
        <v>3966</v>
      </c>
      <c r="B2960" t="s">
        <v>3538</v>
      </c>
      <c r="C2960" t="str">
        <f>"622726199503150861"</f>
        <v>622726199503150861</v>
      </c>
      <c r="D2960" t="str">
        <f>"248030403218"</f>
        <v>248030403218</v>
      </c>
      <c r="L2960">
        <v>3966</v>
      </c>
      <c r="M2960" t="s">
        <v>3538</v>
      </c>
      <c r="N2960" t="str">
        <f>"248030403218"</f>
        <v>248030403218</v>
      </c>
      <c r="O2960" t="str">
        <f>"622726199503150861"</f>
        <v>622726199503150861</v>
      </c>
    </row>
    <row r="2961" customFormat="1" spans="1:15">
      <c r="A2961">
        <v>3967</v>
      </c>
      <c r="B2961" t="s">
        <v>3539</v>
      </c>
      <c r="C2961" t="str">
        <f>"460027200002023727"</f>
        <v>460027200002023727</v>
      </c>
      <c r="D2961" t="str">
        <f>"248030501704"</f>
        <v>248030501704</v>
      </c>
      <c r="L2961">
        <v>3967</v>
      </c>
      <c r="M2961" t="s">
        <v>3539</v>
      </c>
      <c r="N2961" t="str">
        <f>"248030501704"</f>
        <v>248030501704</v>
      </c>
      <c r="O2961" t="str">
        <f>"460027200002023727"</f>
        <v>460027200002023727</v>
      </c>
    </row>
    <row r="2962" customFormat="1" spans="1:15">
      <c r="A2962">
        <v>3968</v>
      </c>
      <c r="B2962" t="s">
        <v>3540</v>
      </c>
      <c r="C2962" t="str">
        <f>"460006200208222324"</f>
        <v>460006200208222324</v>
      </c>
      <c r="D2962" t="str">
        <f>"248030503108"</f>
        <v>248030503108</v>
      </c>
      <c r="L2962">
        <v>3968</v>
      </c>
      <c r="M2962" t="s">
        <v>3540</v>
      </c>
      <c r="N2962" t="str">
        <f>"248030503108"</f>
        <v>248030503108</v>
      </c>
      <c r="O2962" t="str">
        <f>"460006200208222324"</f>
        <v>460006200208222324</v>
      </c>
    </row>
    <row r="2963" customFormat="1" spans="1:15">
      <c r="A2963">
        <v>3969</v>
      </c>
      <c r="B2963" t="s">
        <v>3541</v>
      </c>
      <c r="C2963" t="str">
        <f>"460004200101241821"</f>
        <v>460004200101241821</v>
      </c>
      <c r="D2963" t="str">
        <f>"248030104808"</f>
        <v>248030104808</v>
      </c>
      <c r="L2963">
        <v>3969</v>
      </c>
      <c r="M2963" t="s">
        <v>3541</v>
      </c>
      <c r="N2963" t="str">
        <f>"248030104808"</f>
        <v>248030104808</v>
      </c>
      <c r="O2963" t="str">
        <f>"460004200101241821"</f>
        <v>460004200101241821</v>
      </c>
    </row>
    <row r="2964" customFormat="1" spans="1:15">
      <c r="A2964">
        <v>3970</v>
      </c>
      <c r="B2964" t="s">
        <v>3542</v>
      </c>
      <c r="C2964" t="str">
        <f>"46010319930801032X"</f>
        <v>46010319930801032X</v>
      </c>
      <c r="D2964" t="str">
        <f>"248030301008"</f>
        <v>248030301008</v>
      </c>
      <c r="L2964">
        <v>3970</v>
      </c>
      <c r="M2964" t="s">
        <v>3542</v>
      </c>
      <c r="N2964" t="str">
        <f>"248030301008"</f>
        <v>248030301008</v>
      </c>
      <c r="O2964" t="str">
        <f>"46010319930801032X"</f>
        <v>46010319930801032X</v>
      </c>
    </row>
    <row r="2965" customFormat="1" spans="1:15">
      <c r="A2965">
        <v>3971</v>
      </c>
      <c r="B2965" t="s">
        <v>3543</v>
      </c>
      <c r="C2965" t="str">
        <f>"460200199604282721"</f>
        <v>460200199604282721</v>
      </c>
      <c r="D2965" t="str">
        <f>"248030501321"</f>
        <v>248030501321</v>
      </c>
      <c r="L2965">
        <v>3971</v>
      </c>
      <c r="M2965" t="s">
        <v>3543</v>
      </c>
      <c r="N2965" t="str">
        <f>"248030501321"</f>
        <v>248030501321</v>
      </c>
      <c r="O2965" t="str">
        <f>"460200199604282721"</f>
        <v>460200199604282721</v>
      </c>
    </row>
    <row r="2966" customFormat="1" spans="1:15">
      <c r="A2966">
        <v>3972</v>
      </c>
      <c r="B2966" t="s">
        <v>3544</v>
      </c>
      <c r="C2966" t="str">
        <f>"460033199807027161"</f>
        <v>460033199807027161</v>
      </c>
      <c r="D2966" t="str">
        <f>"248030403926"</f>
        <v>248030403926</v>
      </c>
      <c r="L2966">
        <v>3972</v>
      </c>
      <c r="M2966" t="s">
        <v>3544</v>
      </c>
      <c r="N2966" t="str">
        <f>"248030403926"</f>
        <v>248030403926</v>
      </c>
      <c r="O2966" t="str">
        <f>"460033199807027161"</f>
        <v>460033199807027161</v>
      </c>
    </row>
    <row r="2967" customFormat="1" spans="1:15">
      <c r="A2967">
        <v>3973</v>
      </c>
      <c r="B2967" t="s">
        <v>3545</v>
      </c>
      <c r="C2967" t="str">
        <f>"460006200001100645"</f>
        <v>460006200001100645</v>
      </c>
      <c r="D2967" t="str">
        <f>"248030100511"</f>
        <v>248030100511</v>
      </c>
      <c r="L2967">
        <v>3973</v>
      </c>
      <c r="M2967" t="s">
        <v>3545</v>
      </c>
      <c r="N2967" t="str">
        <f>"248030100511"</f>
        <v>248030100511</v>
      </c>
      <c r="O2967" t="str">
        <f>"460006200001100645"</f>
        <v>460006200001100645</v>
      </c>
    </row>
    <row r="2968" customFormat="1" spans="1:15">
      <c r="A2968">
        <v>3974</v>
      </c>
      <c r="B2968" t="s">
        <v>3546</v>
      </c>
      <c r="C2968" t="str">
        <f>"460003199909212642"</f>
        <v>460003199909212642</v>
      </c>
      <c r="D2968" t="str">
        <f>"248030402210"</f>
        <v>248030402210</v>
      </c>
      <c r="L2968">
        <v>3974</v>
      </c>
      <c r="M2968" t="s">
        <v>3546</v>
      </c>
      <c r="N2968" t="str">
        <f>"248030402210"</f>
        <v>248030402210</v>
      </c>
      <c r="O2968" t="str">
        <f>"460003199909212642"</f>
        <v>460003199909212642</v>
      </c>
    </row>
    <row r="2969" customFormat="1" spans="1:15">
      <c r="A2969">
        <v>3975</v>
      </c>
      <c r="B2969" t="s">
        <v>3547</v>
      </c>
      <c r="C2969" t="str">
        <f>"460022200203213920"</f>
        <v>460022200203213920</v>
      </c>
      <c r="D2969" t="str">
        <f>"248030401028"</f>
        <v>248030401028</v>
      </c>
      <c r="L2969">
        <v>3975</v>
      </c>
      <c r="M2969" t="s">
        <v>3547</v>
      </c>
      <c r="N2969" t="str">
        <f>"248030401028"</f>
        <v>248030401028</v>
      </c>
      <c r="O2969" t="str">
        <f>"460022200203213920"</f>
        <v>460022200203213920</v>
      </c>
    </row>
    <row r="2970" customFormat="1" spans="1:15">
      <c r="A2970">
        <v>3976</v>
      </c>
      <c r="B2970" t="s">
        <v>3548</v>
      </c>
      <c r="C2970" t="str">
        <f>"460027200209104428"</f>
        <v>460027200209104428</v>
      </c>
      <c r="D2970" t="str">
        <f>"248030100402"</f>
        <v>248030100402</v>
      </c>
      <c r="L2970">
        <v>3976</v>
      </c>
      <c r="M2970" t="s">
        <v>3548</v>
      </c>
      <c r="N2970" t="str">
        <f>"248030100402"</f>
        <v>248030100402</v>
      </c>
      <c r="O2970" t="str">
        <f>"460027200209104428"</f>
        <v>460027200209104428</v>
      </c>
    </row>
    <row r="2971" customFormat="1" spans="1:15">
      <c r="A2971">
        <v>3977</v>
      </c>
      <c r="B2971" t="s">
        <v>3549</v>
      </c>
      <c r="C2971" t="str">
        <f>"460022199608260041"</f>
        <v>460022199608260041</v>
      </c>
      <c r="D2971" t="str">
        <f>"248030102517"</f>
        <v>248030102517</v>
      </c>
      <c r="L2971">
        <v>3977</v>
      </c>
      <c r="M2971" t="s">
        <v>3549</v>
      </c>
      <c r="N2971" t="str">
        <f>"248030102517"</f>
        <v>248030102517</v>
      </c>
      <c r="O2971" t="str">
        <f>"460022199608260041"</f>
        <v>460022199608260041</v>
      </c>
    </row>
    <row r="2972" customFormat="1" spans="1:15">
      <c r="A2972">
        <v>3979</v>
      </c>
      <c r="B2972" t="s">
        <v>3550</v>
      </c>
      <c r="C2972" t="str">
        <f>"460031198912035211"</f>
        <v>460031198912035211</v>
      </c>
      <c r="D2972" t="str">
        <f>"248030103521"</f>
        <v>248030103521</v>
      </c>
      <c r="L2972">
        <v>3979</v>
      </c>
      <c r="M2972" t="s">
        <v>3550</v>
      </c>
      <c r="N2972" t="str">
        <f>"248030103521"</f>
        <v>248030103521</v>
      </c>
      <c r="O2972" t="str">
        <f>"460031198912035211"</f>
        <v>460031198912035211</v>
      </c>
    </row>
    <row r="2973" customFormat="1" spans="1:15">
      <c r="A2973">
        <v>3980</v>
      </c>
      <c r="B2973" t="s">
        <v>3551</v>
      </c>
      <c r="C2973" t="str">
        <f>"460002200004150028"</f>
        <v>460002200004150028</v>
      </c>
      <c r="D2973" t="str">
        <f>"248030200508"</f>
        <v>248030200508</v>
      </c>
      <c r="L2973">
        <v>3980</v>
      </c>
      <c r="M2973" t="s">
        <v>3551</v>
      </c>
      <c r="N2973" t="str">
        <f>"248030200508"</f>
        <v>248030200508</v>
      </c>
      <c r="O2973" t="str">
        <f>"460002200004150028"</f>
        <v>460002200004150028</v>
      </c>
    </row>
    <row r="2974" customFormat="1" spans="1:15">
      <c r="A2974">
        <v>3981</v>
      </c>
      <c r="B2974" t="s">
        <v>3552</v>
      </c>
      <c r="C2974" t="str">
        <f>"460027200005011721"</f>
        <v>460027200005011721</v>
      </c>
      <c r="L2974">
        <v>3981</v>
      </c>
      <c r="M2974" t="s">
        <v>3552</v>
      </c>
      <c r="O2974" t="str">
        <f>"460027200005011721"</f>
        <v>460027200005011721</v>
      </c>
    </row>
    <row r="2975" customFormat="1" spans="1:15">
      <c r="A2975">
        <v>3982</v>
      </c>
      <c r="B2975" t="s">
        <v>3553</v>
      </c>
      <c r="C2975" t="str">
        <f>"460006200106172928"</f>
        <v>460006200106172928</v>
      </c>
      <c r="D2975" t="str">
        <f>"248030301817"</f>
        <v>248030301817</v>
      </c>
      <c r="L2975">
        <v>3982</v>
      </c>
      <c r="M2975" t="s">
        <v>3553</v>
      </c>
      <c r="N2975" t="str">
        <f>"248030301817"</f>
        <v>248030301817</v>
      </c>
      <c r="O2975" t="str">
        <f>"460006200106172928"</f>
        <v>460006200106172928</v>
      </c>
    </row>
    <row r="2976" customFormat="1" spans="1:15">
      <c r="A2976">
        <v>3983</v>
      </c>
      <c r="B2976" t="s">
        <v>3554</v>
      </c>
      <c r="C2976" t="str">
        <f>"460030198908101224"</f>
        <v>460030198908101224</v>
      </c>
      <c r="D2976" t="str">
        <f>"248030403608"</f>
        <v>248030403608</v>
      </c>
      <c r="L2976">
        <v>3983</v>
      </c>
      <c r="M2976" t="s">
        <v>3554</v>
      </c>
      <c r="N2976" t="str">
        <f>"248030403608"</f>
        <v>248030403608</v>
      </c>
      <c r="O2976" t="str">
        <f>"460030198908101224"</f>
        <v>460030198908101224</v>
      </c>
    </row>
    <row r="2977" customFormat="1" spans="1:15">
      <c r="A2977">
        <v>3984</v>
      </c>
      <c r="B2977" t="s">
        <v>3555</v>
      </c>
      <c r="C2977" t="str">
        <f>"35021219971216452X"</f>
        <v>35021219971216452X</v>
      </c>
      <c r="D2977" t="str">
        <f>"248030400821"</f>
        <v>248030400821</v>
      </c>
      <c r="L2977">
        <v>3984</v>
      </c>
      <c r="M2977" t="s">
        <v>3555</v>
      </c>
      <c r="N2977" t="str">
        <f>"248030400821"</f>
        <v>248030400821</v>
      </c>
      <c r="O2977" t="str">
        <f>"35021219971216452X"</f>
        <v>35021219971216452X</v>
      </c>
    </row>
    <row r="2978" customFormat="1" spans="1:15">
      <c r="A2978">
        <v>3985</v>
      </c>
      <c r="B2978" t="s">
        <v>3556</v>
      </c>
      <c r="C2978" t="str">
        <f>"362401199802051022"</f>
        <v>362401199802051022</v>
      </c>
      <c r="L2978">
        <v>3985</v>
      </c>
      <c r="M2978" t="s">
        <v>3556</v>
      </c>
      <c r="O2978" t="str">
        <f>"362401199802051022"</f>
        <v>362401199802051022</v>
      </c>
    </row>
    <row r="2979" customFormat="1" spans="1:15">
      <c r="A2979">
        <v>3987</v>
      </c>
      <c r="B2979" t="s">
        <v>3557</v>
      </c>
      <c r="C2979" t="str">
        <f>"460102200111221210"</f>
        <v>460102200111221210</v>
      </c>
      <c r="D2979" t="str">
        <f>"248030503018"</f>
        <v>248030503018</v>
      </c>
      <c r="L2979">
        <v>3987</v>
      </c>
      <c r="M2979" t="s">
        <v>3557</v>
      </c>
      <c r="N2979" t="str">
        <f>"248030503018"</f>
        <v>248030503018</v>
      </c>
      <c r="O2979" t="str">
        <f>"460102200111221210"</f>
        <v>460102200111221210</v>
      </c>
    </row>
    <row r="2980" customFormat="1" spans="1:15">
      <c r="A2980">
        <v>3989</v>
      </c>
      <c r="B2980" t="s">
        <v>3558</v>
      </c>
      <c r="C2980" t="str">
        <f>"46902220020528152X"</f>
        <v>46902220020528152X</v>
      </c>
      <c r="D2980" t="str">
        <f>"248030100419"</f>
        <v>248030100419</v>
      </c>
      <c r="L2980">
        <v>3989</v>
      </c>
      <c r="M2980" t="s">
        <v>3558</v>
      </c>
      <c r="N2980" t="str">
        <f>"248030100419"</f>
        <v>248030100419</v>
      </c>
      <c r="O2980" t="str">
        <f>"46902220020528152X"</f>
        <v>46902220020528152X</v>
      </c>
    </row>
    <row r="2981" customFormat="1" spans="1:15">
      <c r="A2981">
        <v>3990</v>
      </c>
      <c r="B2981" t="s">
        <v>3559</v>
      </c>
      <c r="C2981" t="str">
        <f>"460004200202100825"</f>
        <v>460004200202100825</v>
      </c>
      <c r="D2981" t="str">
        <f>"248030503113"</f>
        <v>248030503113</v>
      </c>
      <c r="L2981">
        <v>3990</v>
      </c>
      <c r="M2981" t="s">
        <v>3559</v>
      </c>
      <c r="N2981" t="str">
        <f>"248030503113"</f>
        <v>248030503113</v>
      </c>
      <c r="O2981" t="str">
        <f>"460004200202100825"</f>
        <v>460004200202100825</v>
      </c>
    </row>
    <row r="2982" customFormat="1" spans="1:15">
      <c r="A2982">
        <v>3993</v>
      </c>
      <c r="B2982" t="s">
        <v>792</v>
      </c>
      <c r="C2982" t="str">
        <f>"460103200106191826"</f>
        <v>460103200106191826</v>
      </c>
      <c r="D2982" t="str">
        <f>"248030103311"</f>
        <v>248030103311</v>
      </c>
      <c r="L2982">
        <v>3993</v>
      </c>
      <c r="M2982" t="s">
        <v>792</v>
      </c>
      <c r="N2982" t="str">
        <f>"248030103311"</f>
        <v>248030103311</v>
      </c>
      <c r="O2982" t="str">
        <f>"460103200106191826"</f>
        <v>460103200106191826</v>
      </c>
    </row>
    <row r="2983" customFormat="1" spans="1:15">
      <c r="A2983">
        <v>3994</v>
      </c>
      <c r="B2983" t="s">
        <v>3560</v>
      </c>
      <c r="C2983" t="str">
        <f>"460102199904080010"</f>
        <v>460102199904080010</v>
      </c>
      <c r="D2983" t="str">
        <f>"248030201924"</f>
        <v>248030201924</v>
      </c>
      <c r="L2983">
        <v>3994</v>
      </c>
      <c r="M2983" t="s">
        <v>3560</v>
      </c>
      <c r="N2983" t="str">
        <f>"248030201924"</f>
        <v>248030201924</v>
      </c>
      <c r="O2983" t="str">
        <f>"460102199904080010"</f>
        <v>460102199904080010</v>
      </c>
    </row>
    <row r="2984" customFormat="1" spans="1:15">
      <c r="A2984">
        <v>3996</v>
      </c>
      <c r="B2984" t="s">
        <v>3561</v>
      </c>
      <c r="C2984" t="str">
        <f>"460300198311020040"</f>
        <v>460300198311020040</v>
      </c>
      <c r="L2984">
        <v>3996</v>
      </c>
      <c r="M2984" t="s">
        <v>3561</v>
      </c>
      <c r="O2984" t="str">
        <f>"460300198311020040"</f>
        <v>460300198311020040</v>
      </c>
    </row>
    <row r="2985" customFormat="1" spans="1:15">
      <c r="A2985">
        <v>3997</v>
      </c>
      <c r="B2985" t="s">
        <v>3562</v>
      </c>
      <c r="C2985" t="str">
        <f>"431202200005220450"</f>
        <v>431202200005220450</v>
      </c>
      <c r="D2985" t="str">
        <f>"248030202114"</f>
        <v>248030202114</v>
      </c>
      <c r="L2985">
        <v>3997</v>
      </c>
      <c r="M2985" t="s">
        <v>3562</v>
      </c>
      <c r="N2985" t="str">
        <f>"248030202114"</f>
        <v>248030202114</v>
      </c>
      <c r="O2985" t="str">
        <f>"431202200005220450"</f>
        <v>431202200005220450</v>
      </c>
    </row>
    <row r="2986" customFormat="1" spans="1:15">
      <c r="A2986">
        <v>3998</v>
      </c>
      <c r="B2986" t="s">
        <v>3563</v>
      </c>
      <c r="C2986" t="str">
        <f>"460033200108204785"</f>
        <v>460033200108204785</v>
      </c>
      <c r="D2986" t="str">
        <f>"248030103006"</f>
        <v>248030103006</v>
      </c>
      <c r="L2986">
        <v>3998</v>
      </c>
      <c r="M2986" t="s">
        <v>3563</v>
      </c>
      <c r="N2986" t="str">
        <f>"248030103006"</f>
        <v>248030103006</v>
      </c>
      <c r="O2986" t="str">
        <f>"460033200108204785"</f>
        <v>460033200108204785</v>
      </c>
    </row>
    <row r="2987" customFormat="1" spans="1:15">
      <c r="A2987">
        <v>3999</v>
      </c>
      <c r="B2987" t="s">
        <v>3564</v>
      </c>
      <c r="C2987" t="str">
        <f>"460004200008210027"</f>
        <v>460004200008210027</v>
      </c>
      <c r="D2987" t="str">
        <f>"248030301209"</f>
        <v>248030301209</v>
      </c>
      <c r="L2987">
        <v>3999</v>
      </c>
      <c r="M2987" t="s">
        <v>3564</v>
      </c>
      <c r="N2987" t="str">
        <f>"248030301209"</f>
        <v>248030301209</v>
      </c>
      <c r="O2987" t="str">
        <f>"460004200008210027"</f>
        <v>460004200008210027</v>
      </c>
    </row>
    <row r="2988" customFormat="1" spans="1:15">
      <c r="A2988">
        <v>4000</v>
      </c>
      <c r="B2988" t="s">
        <v>3565</v>
      </c>
      <c r="C2988" t="str">
        <f>"460003199606160224"</f>
        <v>460003199606160224</v>
      </c>
      <c r="D2988" t="str">
        <f>"248030101823"</f>
        <v>248030101823</v>
      </c>
      <c r="L2988">
        <v>4000</v>
      </c>
      <c r="M2988" t="s">
        <v>3565</v>
      </c>
      <c r="N2988" t="str">
        <f>"248030101823"</f>
        <v>248030101823</v>
      </c>
      <c r="O2988" t="str">
        <f>"460003199606160224"</f>
        <v>460003199606160224</v>
      </c>
    </row>
    <row r="2989" customFormat="1" spans="1:15">
      <c r="A2989">
        <v>4001</v>
      </c>
      <c r="B2989" t="s">
        <v>3566</v>
      </c>
      <c r="C2989" t="str">
        <f>"370682199911251663"</f>
        <v>370682199911251663</v>
      </c>
      <c r="D2989" t="str">
        <f>"248030203914"</f>
        <v>248030203914</v>
      </c>
      <c r="L2989">
        <v>4001</v>
      </c>
      <c r="M2989" t="s">
        <v>3566</v>
      </c>
      <c r="N2989" t="str">
        <f>"248030203914"</f>
        <v>248030203914</v>
      </c>
      <c r="O2989" t="str">
        <f>"370682199911251663"</f>
        <v>370682199911251663</v>
      </c>
    </row>
    <row r="2990" customFormat="1" spans="1:15">
      <c r="A2990">
        <v>4002</v>
      </c>
      <c r="B2990" t="s">
        <v>3567</v>
      </c>
      <c r="C2990" t="str">
        <f>"460003200212304024"</f>
        <v>460003200212304024</v>
      </c>
      <c r="D2990" t="str">
        <f>"248030100610"</f>
        <v>248030100610</v>
      </c>
      <c r="L2990">
        <v>4002</v>
      </c>
      <c r="M2990" t="s">
        <v>3567</v>
      </c>
      <c r="N2990" t="str">
        <f>"248030100610"</f>
        <v>248030100610</v>
      </c>
      <c r="O2990" t="str">
        <f>"460003200212304024"</f>
        <v>460003200212304024</v>
      </c>
    </row>
    <row r="2991" customFormat="1" spans="1:15">
      <c r="A2991">
        <v>4003</v>
      </c>
      <c r="B2991" t="s">
        <v>3568</v>
      </c>
      <c r="C2991" t="str">
        <f>"460003200109034222"</f>
        <v>460003200109034222</v>
      </c>
      <c r="D2991" t="str">
        <f>"248030502923"</f>
        <v>248030502923</v>
      </c>
      <c r="L2991">
        <v>4003</v>
      </c>
      <c r="M2991" t="s">
        <v>3568</v>
      </c>
      <c r="N2991" t="str">
        <f>"248030502923"</f>
        <v>248030502923</v>
      </c>
      <c r="O2991" t="str">
        <f>"460003200109034222"</f>
        <v>460003200109034222</v>
      </c>
    </row>
    <row r="2992" customFormat="1" spans="1:15">
      <c r="A2992">
        <v>4004</v>
      </c>
      <c r="B2992" t="s">
        <v>3569</v>
      </c>
      <c r="C2992" t="str">
        <f>"460004199605090021"</f>
        <v>460004199605090021</v>
      </c>
      <c r="D2992" t="str">
        <f>"248030104414"</f>
        <v>248030104414</v>
      </c>
      <c r="L2992">
        <v>4004</v>
      </c>
      <c r="M2992" t="s">
        <v>3569</v>
      </c>
      <c r="N2992" t="str">
        <f>"248030104414"</f>
        <v>248030104414</v>
      </c>
      <c r="O2992" t="str">
        <f>"460004199605090021"</f>
        <v>460004199605090021</v>
      </c>
    </row>
    <row r="2993" customFormat="1" spans="1:15">
      <c r="A2993">
        <v>4006</v>
      </c>
      <c r="B2993" t="s">
        <v>3570</v>
      </c>
      <c r="C2993" t="str">
        <f>"46000219990701032X"</f>
        <v>46000219990701032X</v>
      </c>
      <c r="D2993" t="str">
        <f>"248030104230"</f>
        <v>248030104230</v>
      </c>
      <c r="L2993">
        <v>4006</v>
      </c>
      <c r="M2993" t="s">
        <v>3570</v>
      </c>
      <c r="N2993" t="str">
        <f>"248030104230"</f>
        <v>248030104230</v>
      </c>
      <c r="O2993" t="str">
        <f>"46000219990701032X"</f>
        <v>46000219990701032X</v>
      </c>
    </row>
    <row r="2994" customFormat="1" spans="1:15">
      <c r="A2994">
        <v>4007</v>
      </c>
      <c r="B2994" t="s">
        <v>3571</v>
      </c>
      <c r="C2994" t="str">
        <f>"410103200103140100"</f>
        <v>410103200103140100</v>
      </c>
      <c r="D2994" t="str">
        <f>"248030101728"</f>
        <v>248030101728</v>
      </c>
      <c r="L2994">
        <v>4007</v>
      </c>
      <c r="M2994" t="s">
        <v>3571</v>
      </c>
      <c r="N2994" t="str">
        <f>"248030101728"</f>
        <v>248030101728</v>
      </c>
      <c r="O2994" t="str">
        <f>"410103200103140100"</f>
        <v>410103200103140100</v>
      </c>
    </row>
    <row r="2995" customFormat="1" spans="1:15">
      <c r="A2995">
        <v>4008</v>
      </c>
      <c r="B2995" t="s">
        <v>3572</v>
      </c>
      <c r="C2995" t="str">
        <f>"46000619951206402X"</f>
        <v>46000619951206402X</v>
      </c>
      <c r="D2995" t="str">
        <f>"248030102030"</f>
        <v>248030102030</v>
      </c>
      <c r="L2995">
        <v>4008</v>
      </c>
      <c r="M2995" t="s">
        <v>3572</v>
      </c>
      <c r="N2995" t="str">
        <f>"248030102030"</f>
        <v>248030102030</v>
      </c>
      <c r="O2995" t="str">
        <f>"46000619951206402X"</f>
        <v>46000619951206402X</v>
      </c>
    </row>
    <row r="2996" customFormat="1" spans="1:15">
      <c r="A2996">
        <v>4009</v>
      </c>
      <c r="B2996" t="s">
        <v>2606</v>
      </c>
      <c r="C2996" t="str">
        <f>"460033199811053266"</f>
        <v>460033199811053266</v>
      </c>
      <c r="L2996">
        <v>4009</v>
      </c>
      <c r="M2996" t="s">
        <v>2606</v>
      </c>
      <c r="O2996" t="str">
        <f>"460033199811053266"</f>
        <v>460033199811053266</v>
      </c>
    </row>
    <row r="2997" customFormat="1" spans="1:15">
      <c r="A2997">
        <v>4010</v>
      </c>
      <c r="B2997" t="s">
        <v>3573</v>
      </c>
      <c r="C2997" t="str">
        <f>"230921200101120221"</f>
        <v>230921200101120221</v>
      </c>
      <c r="D2997" t="str">
        <f>"248030500404"</f>
        <v>248030500404</v>
      </c>
      <c r="L2997">
        <v>4010</v>
      </c>
      <c r="M2997" t="s">
        <v>3573</v>
      </c>
      <c r="N2997" t="str">
        <f>"248030500404"</f>
        <v>248030500404</v>
      </c>
      <c r="O2997" t="str">
        <f>"230921200101120221"</f>
        <v>230921200101120221</v>
      </c>
    </row>
    <row r="2998" customFormat="1" spans="1:15">
      <c r="A2998">
        <v>4012</v>
      </c>
      <c r="B2998" t="s">
        <v>3574</v>
      </c>
      <c r="C2998" t="str">
        <f>"410901199908124031"</f>
        <v>410901199908124031</v>
      </c>
      <c r="D2998" t="str">
        <f>"248030202229"</f>
        <v>248030202229</v>
      </c>
      <c r="L2998">
        <v>4012</v>
      </c>
      <c r="M2998" t="s">
        <v>3574</v>
      </c>
      <c r="N2998" t="str">
        <f>"248030202229"</f>
        <v>248030202229</v>
      </c>
      <c r="O2998" t="str">
        <f>"410901199908124031"</f>
        <v>410901199908124031</v>
      </c>
    </row>
    <row r="2999" customFormat="1" spans="1:15">
      <c r="A2999">
        <v>4013</v>
      </c>
      <c r="B2999" t="s">
        <v>3575</v>
      </c>
      <c r="C2999" t="str">
        <f>"460028199812220029"</f>
        <v>460028199812220029</v>
      </c>
      <c r="D2999" t="str">
        <f>"248030402503"</f>
        <v>248030402503</v>
      </c>
      <c r="L2999">
        <v>4013</v>
      </c>
      <c r="M2999" t="s">
        <v>3575</v>
      </c>
      <c r="N2999" t="str">
        <f>"248030402503"</f>
        <v>248030402503</v>
      </c>
      <c r="O2999" t="str">
        <f>"460028199812220029"</f>
        <v>460028199812220029</v>
      </c>
    </row>
    <row r="3000" customFormat="1" spans="1:15">
      <c r="A3000">
        <v>4014</v>
      </c>
      <c r="B3000" t="s">
        <v>3576</v>
      </c>
      <c r="C3000" t="str">
        <f>"460028200304061223"</f>
        <v>460028200304061223</v>
      </c>
      <c r="D3000" t="str">
        <f>"248030403605"</f>
        <v>248030403605</v>
      </c>
      <c r="L3000">
        <v>4014</v>
      </c>
      <c r="M3000" t="s">
        <v>3576</v>
      </c>
      <c r="N3000" t="str">
        <f>"248030403605"</f>
        <v>248030403605</v>
      </c>
      <c r="O3000" t="str">
        <f>"460028200304061223"</f>
        <v>460028200304061223</v>
      </c>
    </row>
    <row r="3001" customFormat="1" spans="1:15">
      <c r="A3001">
        <v>4015</v>
      </c>
      <c r="B3001" t="s">
        <v>3577</v>
      </c>
      <c r="C3001" t="str">
        <f>"469006200103230027"</f>
        <v>469006200103230027</v>
      </c>
      <c r="L3001">
        <v>4015</v>
      </c>
      <c r="M3001" t="s">
        <v>3577</v>
      </c>
      <c r="O3001" t="str">
        <f>"469006200103230027"</f>
        <v>469006200103230027</v>
      </c>
    </row>
    <row r="3002" customFormat="1" spans="1:15">
      <c r="A3002">
        <v>4017</v>
      </c>
      <c r="B3002" t="s">
        <v>3578</v>
      </c>
      <c r="C3002" t="str">
        <f>"412723199604230045"</f>
        <v>412723199604230045</v>
      </c>
      <c r="D3002" t="str">
        <f>"248030404101"</f>
        <v>248030404101</v>
      </c>
      <c r="L3002">
        <v>4017</v>
      </c>
      <c r="M3002" t="s">
        <v>3578</v>
      </c>
      <c r="N3002" t="str">
        <f>"248030404101"</f>
        <v>248030404101</v>
      </c>
      <c r="O3002" t="str">
        <f>"412723199604230045"</f>
        <v>412723199604230045</v>
      </c>
    </row>
    <row r="3003" customFormat="1" spans="1:15">
      <c r="A3003">
        <v>4018</v>
      </c>
      <c r="B3003" t="s">
        <v>3579</v>
      </c>
      <c r="C3003" t="str">
        <f>"460035200211090010"</f>
        <v>460035200211090010</v>
      </c>
      <c r="D3003" t="str">
        <f>"248030301310"</f>
        <v>248030301310</v>
      </c>
      <c r="L3003">
        <v>4018</v>
      </c>
      <c r="M3003" t="s">
        <v>3579</v>
      </c>
      <c r="N3003" t="str">
        <f>"248030301310"</f>
        <v>248030301310</v>
      </c>
      <c r="O3003" t="str">
        <f>"460035200211090010"</f>
        <v>460035200211090010</v>
      </c>
    </row>
    <row r="3004" customFormat="1" spans="1:15">
      <c r="A3004">
        <v>4019</v>
      </c>
      <c r="B3004" t="s">
        <v>1205</v>
      </c>
      <c r="C3004" t="str">
        <f>"460027200110042028"</f>
        <v>460027200110042028</v>
      </c>
      <c r="D3004" t="str">
        <f>"248030501505"</f>
        <v>248030501505</v>
      </c>
      <c r="L3004">
        <v>4019</v>
      </c>
      <c r="M3004" t="s">
        <v>1205</v>
      </c>
      <c r="N3004" t="str">
        <f>"248030501505"</f>
        <v>248030501505</v>
      </c>
      <c r="O3004" t="str">
        <f>"460027200110042028"</f>
        <v>460027200110042028</v>
      </c>
    </row>
    <row r="3005" customFormat="1" spans="1:15">
      <c r="A3005">
        <v>4020</v>
      </c>
      <c r="B3005" t="s">
        <v>3580</v>
      </c>
      <c r="C3005" t="str">
        <f>"46900320000530242X"</f>
        <v>46900320000530242X</v>
      </c>
      <c r="D3005" t="str">
        <f>"248030504212"</f>
        <v>248030504212</v>
      </c>
      <c r="L3005">
        <v>4020</v>
      </c>
      <c r="M3005" t="s">
        <v>3580</v>
      </c>
      <c r="N3005" t="str">
        <f>"248030504212"</f>
        <v>248030504212</v>
      </c>
      <c r="O3005" t="str">
        <f>"46900320000530242X"</f>
        <v>46900320000530242X</v>
      </c>
    </row>
    <row r="3006" customFormat="1" spans="1:15">
      <c r="A3006">
        <v>4021</v>
      </c>
      <c r="B3006" t="s">
        <v>3581</v>
      </c>
      <c r="C3006" t="str">
        <f>"460200199602264220"</f>
        <v>460200199602264220</v>
      </c>
      <c r="L3006">
        <v>4021</v>
      </c>
      <c r="M3006" t="s">
        <v>3581</v>
      </c>
      <c r="O3006" t="str">
        <f>"460200199602264220"</f>
        <v>460200199602264220</v>
      </c>
    </row>
    <row r="3007" customFormat="1" spans="1:15">
      <c r="A3007">
        <v>4022</v>
      </c>
      <c r="B3007" t="s">
        <v>3582</v>
      </c>
      <c r="C3007" t="str">
        <f>"460003200011014645"</f>
        <v>460003200011014645</v>
      </c>
      <c r="D3007" t="str">
        <f>"248030504214"</f>
        <v>248030504214</v>
      </c>
      <c r="L3007">
        <v>4022</v>
      </c>
      <c r="M3007" t="s">
        <v>3582</v>
      </c>
      <c r="N3007" t="str">
        <f>"248030504214"</f>
        <v>248030504214</v>
      </c>
      <c r="O3007" t="str">
        <f>"460003200011014645"</f>
        <v>460003200011014645</v>
      </c>
    </row>
    <row r="3008" customFormat="1" spans="1:15">
      <c r="A3008">
        <v>4023</v>
      </c>
      <c r="B3008" t="s">
        <v>3583</v>
      </c>
      <c r="C3008" t="str">
        <f>"460027200201150016"</f>
        <v>460027200201150016</v>
      </c>
      <c r="D3008" t="str">
        <f>"248030201414"</f>
        <v>248030201414</v>
      </c>
      <c r="L3008">
        <v>4023</v>
      </c>
      <c r="M3008" t="s">
        <v>3583</v>
      </c>
      <c r="N3008" t="str">
        <f>"248030201414"</f>
        <v>248030201414</v>
      </c>
      <c r="O3008" t="str">
        <f>"460027200201150016"</f>
        <v>460027200201150016</v>
      </c>
    </row>
    <row r="3009" customFormat="1" spans="1:15">
      <c r="A3009">
        <v>4025</v>
      </c>
      <c r="B3009" t="s">
        <v>3584</v>
      </c>
      <c r="C3009" t="str">
        <f>"460033199808283589"</f>
        <v>460033199808283589</v>
      </c>
      <c r="D3009" t="str">
        <f>"248030101427"</f>
        <v>248030101427</v>
      </c>
      <c r="L3009">
        <v>4025</v>
      </c>
      <c r="M3009" t="s">
        <v>3584</v>
      </c>
      <c r="N3009" t="str">
        <f>"248030101427"</f>
        <v>248030101427</v>
      </c>
      <c r="O3009" t="str">
        <f>"460033199808283589"</f>
        <v>460033199808283589</v>
      </c>
    </row>
    <row r="3010" customFormat="1" spans="1:15">
      <c r="A3010">
        <v>4026</v>
      </c>
      <c r="B3010" t="s">
        <v>3585</v>
      </c>
      <c r="C3010" t="str">
        <f>"469005200109083025"</f>
        <v>469005200109083025</v>
      </c>
      <c r="D3010" t="str">
        <f>"248030203118"</f>
        <v>248030203118</v>
      </c>
      <c r="L3010">
        <v>4026</v>
      </c>
      <c r="M3010" t="s">
        <v>3585</v>
      </c>
      <c r="N3010" t="str">
        <f>"248030203118"</f>
        <v>248030203118</v>
      </c>
      <c r="O3010" t="str">
        <f>"469005200109083025"</f>
        <v>469005200109083025</v>
      </c>
    </row>
    <row r="3011" customFormat="1" spans="1:15">
      <c r="A3011">
        <v>4028</v>
      </c>
      <c r="B3011" t="s">
        <v>3586</v>
      </c>
      <c r="C3011" t="str">
        <f>"460003199708252429"</f>
        <v>460003199708252429</v>
      </c>
      <c r="D3011" t="str">
        <f>"248030504017"</f>
        <v>248030504017</v>
      </c>
      <c r="L3011">
        <v>4028</v>
      </c>
      <c r="M3011" t="s">
        <v>3586</v>
      </c>
      <c r="N3011" t="str">
        <f>"248030504017"</f>
        <v>248030504017</v>
      </c>
      <c r="O3011" t="str">
        <f>"460003199708252429"</f>
        <v>460003199708252429</v>
      </c>
    </row>
    <row r="3012" customFormat="1" spans="1:15">
      <c r="A3012">
        <v>4029</v>
      </c>
      <c r="B3012" t="s">
        <v>3587</v>
      </c>
      <c r="C3012" t="str">
        <f>"460033198910043608"</f>
        <v>460033198910043608</v>
      </c>
      <c r="D3012" t="str">
        <f>"248030501008"</f>
        <v>248030501008</v>
      </c>
      <c r="L3012">
        <v>4029</v>
      </c>
      <c r="M3012" t="s">
        <v>3587</v>
      </c>
      <c r="N3012" t="str">
        <f>"248030501008"</f>
        <v>248030501008</v>
      </c>
      <c r="O3012" t="str">
        <f>"460033198910043608"</f>
        <v>460033198910043608</v>
      </c>
    </row>
    <row r="3013" customFormat="1" spans="1:15">
      <c r="A3013">
        <v>4030</v>
      </c>
      <c r="B3013" t="s">
        <v>3588</v>
      </c>
      <c r="C3013" t="str">
        <f>"14262319900719302X"</f>
        <v>14262319900719302X</v>
      </c>
      <c r="D3013" t="str">
        <f>"248030203519"</f>
        <v>248030203519</v>
      </c>
      <c r="L3013">
        <v>4030</v>
      </c>
      <c r="M3013" t="s">
        <v>3588</v>
      </c>
      <c r="N3013" t="str">
        <f>"248030203519"</f>
        <v>248030203519</v>
      </c>
      <c r="O3013" t="str">
        <f>"14262319900719302X"</f>
        <v>14262319900719302X</v>
      </c>
    </row>
    <row r="3014" customFormat="1" spans="1:15">
      <c r="A3014">
        <v>4031</v>
      </c>
      <c r="B3014" t="s">
        <v>3589</v>
      </c>
      <c r="C3014" t="str">
        <f>"460006199308290927"</f>
        <v>460006199308290927</v>
      </c>
      <c r="D3014" t="str">
        <f>"248030404228"</f>
        <v>248030404228</v>
      </c>
      <c r="L3014">
        <v>4031</v>
      </c>
      <c r="M3014" t="s">
        <v>3589</v>
      </c>
      <c r="N3014" t="str">
        <f>"248030404228"</f>
        <v>248030404228</v>
      </c>
      <c r="O3014" t="str">
        <f>"460006199308290927"</f>
        <v>460006199308290927</v>
      </c>
    </row>
    <row r="3015" customFormat="1" spans="1:15">
      <c r="A3015">
        <v>4032</v>
      </c>
      <c r="B3015" t="s">
        <v>3590</v>
      </c>
      <c r="C3015" t="str">
        <f>"469026200106015627"</f>
        <v>469026200106015627</v>
      </c>
      <c r="D3015" t="str">
        <f>"248030200522"</f>
        <v>248030200522</v>
      </c>
      <c r="L3015">
        <v>4032</v>
      </c>
      <c r="M3015" t="s">
        <v>3590</v>
      </c>
      <c r="N3015" t="str">
        <f>"248030200522"</f>
        <v>248030200522</v>
      </c>
      <c r="O3015" t="str">
        <f>"469026200106015627"</f>
        <v>469026200106015627</v>
      </c>
    </row>
    <row r="3016" customFormat="1" spans="1:15">
      <c r="A3016">
        <v>4033</v>
      </c>
      <c r="B3016" t="s">
        <v>3591</v>
      </c>
      <c r="C3016" t="str">
        <f>"460006199708074043"</f>
        <v>460006199708074043</v>
      </c>
      <c r="D3016" t="str">
        <f>"248030300307"</f>
        <v>248030300307</v>
      </c>
      <c r="L3016">
        <v>4033</v>
      </c>
      <c r="M3016" t="s">
        <v>3591</v>
      </c>
      <c r="N3016" t="str">
        <f>"248030300307"</f>
        <v>248030300307</v>
      </c>
      <c r="O3016" t="str">
        <f>"460006199708074043"</f>
        <v>460006199708074043</v>
      </c>
    </row>
    <row r="3017" customFormat="1" spans="1:15">
      <c r="A3017">
        <v>4034</v>
      </c>
      <c r="B3017" t="s">
        <v>3592</v>
      </c>
      <c r="C3017" t="str">
        <f>"46000319980826542X"</f>
        <v>46000319980826542X</v>
      </c>
      <c r="D3017" t="str">
        <f>"248030203626"</f>
        <v>248030203626</v>
      </c>
      <c r="L3017">
        <v>4034</v>
      </c>
      <c r="M3017" t="s">
        <v>3592</v>
      </c>
      <c r="N3017" t="str">
        <f>"248030203626"</f>
        <v>248030203626</v>
      </c>
      <c r="O3017" t="str">
        <f>"46000319980826542X"</f>
        <v>46000319980826542X</v>
      </c>
    </row>
    <row r="3018" customFormat="1" spans="1:15">
      <c r="A3018">
        <v>4035</v>
      </c>
      <c r="B3018" t="s">
        <v>3593</v>
      </c>
      <c r="C3018" t="str">
        <f>"46010319920908274X"</f>
        <v>46010319920908274X</v>
      </c>
      <c r="D3018" t="str">
        <f>"248030502610"</f>
        <v>248030502610</v>
      </c>
      <c r="L3018">
        <v>4035</v>
      </c>
      <c r="M3018" t="s">
        <v>3593</v>
      </c>
      <c r="N3018" t="str">
        <f>"248030502610"</f>
        <v>248030502610</v>
      </c>
      <c r="O3018" t="str">
        <f>"46010319920908274X"</f>
        <v>46010319920908274X</v>
      </c>
    </row>
    <row r="3019" customFormat="1" spans="1:15">
      <c r="A3019">
        <v>4036</v>
      </c>
      <c r="B3019" t="s">
        <v>3594</v>
      </c>
      <c r="C3019" t="str">
        <f>"513823200209145225"</f>
        <v>513823200209145225</v>
      </c>
      <c r="D3019" t="str">
        <f>"248030503726"</f>
        <v>248030503726</v>
      </c>
      <c r="L3019">
        <v>4036</v>
      </c>
      <c r="M3019" t="s">
        <v>3594</v>
      </c>
      <c r="N3019" t="str">
        <f>"248030503726"</f>
        <v>248030503726</v>
      </c>
      <c r="O3019" t="str">
        <f>"513823200209145225"</f>
        <v>513823200209145225</v>
      </c>
    </row>
    <row r="3020" customFormat="1" spans="1:15">
      <c r="A3020">
        <v>4037</v>
      </c>
      <c r="B3020" t="s">
        <v>3595</v>
      </c>
      <c r="C3020" t="str">
        <f>"460003199804054422"</f>
        <v>460003199804054422</v>
      </c>
      <c r="D3020" t="str">
        <f>"248030500102"</f>
        <v>248030500102</v>
      </c>
      <c r="L3020">
        <v>4037</v>
      </c>
      <c r="M3020" t="s">
        <v>3595</v>
      </c>
      <c r="N3020" t="str">
        <f>"248030500102"</f>
        <v>248030500102</v>
      </c>
      <c r="O3020" t="str">
        <f>"460003199804054422"</f>
        <v>460003199804054422</v>
      </c>
    </row>
    <row r="3021" customFormat="1" spans="1:15">
      <c r="A3021">
        <v>4038</v>
      </c>
      <c r="B3021" t="s">
        <v>3596</v>
      </c>
      <c r="C3021" t="str">
        <f>"460003199802214621"</f>
        <v>460003199802214621</v>
      </c>
      <c r="D3021" t="str">
        <f>"248030100607"</f>
        <v>248030100607</v>
      </c>
      <c r="L3021">
        <v>4038</v>
      </c>
      <c r="M3021" t="s">
        <v>3596</v>
      </c>
      <c r="N3021" t="str">
        <f>"248030100607"</f>
        <v>248030100607</v>
      </c>
      <c r="O3021" t="str">
        <f>"460003199802214621"</f>
        <v>460003199802214621</v>
      </c>
    </row>
    <row r="3022" customFormat="1" spans="1:15">
      <c r="A3022">
        <v>4039</v>
      </c>
      <c r="B3022" t="s">
        <v>3597</v>
      </c>
      <c r="C3022" t="str">
        <f>"460003200010315825"</f>
        <v>460003200010315825</v>
      </c>
      <c r="D3022" t="str">
        <f>"248030100422"</f>
        <v>248030100422</v>
      </c>
      <c r="L3022">
        <v>4039</v>
      </c>
      <c r="M3022" t="s">
        <v>3597</v>
      </c>
      <c r="N3022" t="str">
        <f>"248030100422"</f>
        <v>248030100422</v>
      </c>
      <c r="O3022" t="str">
        <f>"460003200010315825"</f>
        <v>460003200010315825</v>
      </c>
    </row>
    <row r="3023" customFormat="1" spans="1:15">
      <c r="A3023">
        <v>4041</v>
      </c>
      <c r="B3023" t="s">
        <v>3598</v>
      </c>
      <c r="C3023" t="str">
        <f>"460004200101273225"</f>
        <v>460004200101273225</v>
      </c>
      <c r="D3023" t="str">
        <f>"248030401814"</f>
        <v>248030401814</v>
      </c>
      <c r="L3023">
        <v>4041</v>
      </c>
      <c r="M3023" t="s">
        <v>3598</v>
      </c>
      <c r="N3023" t="str">
        <f>"248030401814"</f>
        <v>248030401814</v>
      </c>
      <c r="O3023" t="str">
        <f>"460004200101273225"</f>
        <v>460004200101273225</v>
      </c>
    </row>
    <row r="3024" customFormat="1" spans="1:15">
      <c r="A3024">
        <v>4042</v>
      </c>
      <c r="B3024" t="s">
        <v>654</v>
      </c>
      <c r="C3024" t="str">
        <f>"460004199106043423"</f>
        <v>460004199106043423</v>
      </c>
      <c r="D3024" t="str">
        <f>"248030503115"</f>
        <v>248030503115</v>
      </c>
      <c r="L3024">
        <v>4042</v>
      </c>
      <c r="M3024" t="s">
        <v>654</v>
      </c>
      <c r="N3024" t="str">
        <f>"248030503115"</f>
        <v>248030503115</v>
      </c>
      <c r="O3024" t="str">
        <f>"460004199106043423"</f>
        <v>460004199106043423</v>
      </c>
    </row>
    <row r="3025" customFormat="1" spans="1:15">
      <c r="A3025">
        <v>4043</v>
      </c>
      <c r="B3025" t="s">
        <v>3599</v>
      </c>
      <c r="C3025" t="str">
        <f>"460004199804124861"</f>
        <v>460004199804124861</v>
      </c>
      <c r="L3025">
        <v>4043</v>
      </c>
      <c r="M3025" t="s">
        <v>3599</v>
      </c>
      <c r="O3025" t="str">
        <f>"460004199804124861"</f>
        <v>460004199804124861</v>
      </c>
    </row>
    <row r="3026" customFormat="1" spans="1:15">
      <c r="A3026">
        <v>4044</v>
      </c>
      <c r="B3026" t="s">
        <v>3600</v>
      </c>
      <c r="C3026" t="str">
        <f>"460004199703020828"</f>
        <v>460004199703020828</v>
      </c>
      <c r="D3026" t="str">
        <f>"248030104523"</f>
        <v>248030104523</v>
      </c>
      <c r="L3026">
        <v>4044</v>
      </c>
      <c r="M3026" t="s">
        <v>3600</v>
      </c>
      <c r="N3026" t="str">
        <f>"248030104523"</f>
        <v>248030104523</v>
      </c>
      <c r="O3026" t="str">
        <f>"460004199703020828"</f>
        <v>460004199703020828</v>
      </c>
    </row>
    <row r="3027" customFormat="1" spans="1:15">
      <c r="A3027">
        <v>4045</v>
      </c>
      <c r="B3027" t="s">
        <v>3601</v>
      </c>
      <c r="C3027" t="str">
        <f>"46902220001201242X"</f>
        <v>46902220001201242X</v>
      </c>
      <c r="D3027" t="str">
        <f>"248030203924"</f>
        <v>248030203924</v>
      </c>
      <c r="L3027">
        <v>4045</v>
      </c>
      <c r="M3027" t="s">
        <v>3601</v>
      </c>
      <c r="N3027" t="str">
        <f>"248030203924"</f>
        <v>248030203924</v>
      </c>
      <c r="O3027" t="str">
        <f>"46902220001201242X"</f>
        <v>46902220001201242X</v>
      </c>
    </row>
    <row r="3028" customFormat="1" spans="1:15">
      <c r="A3028">
        <v>4046</v>
      </c>
      <c r="B3028" t="s">
        <v>3602</v>
      </c>
      <c r="C3028" t="str">
        <f>"460104199805250929"</f>
        <v>460104199805250929</v>
      </c>
      <c r="D3028" t="str">
        <f>"248030104211"</f>
        <v>248030104211</v>
      </c>
      <c r="L3028">
        <v>4046</v>
      </c>
      <c r="M3028" t="s">
        <v>3602</v>
      </c>
      <c r="N3028" t="str">
        <f>"248030104211"</f>
        <v>248030104211</v>
      </c>
      <c r="O3028" t="str">
        <f>"460104199805250929"</f>
        <v>460104199805250929</v>
      </c>
    </row>
    <row r="3029" customFormat="1" spans="1:15">
      <c r="A3029">
        <v>4047</v>
      </c>
      <c r="B3029" t="s">
        <v>3603</v>
      </c>
      <c r="C3029" t="str">
        <f>"460003200008212210"</f>
        <v>460003200008212210</v>
      </c>
      <c r="D3029" t="str">
        <f>"248030201612"</f>
        <v>248030201612</v>
      </c>
      <c r="L3029">
        <v>4047</v>
      </c>
      <c r="M3029" t="s">
        <v>3603</v>
      </c>
      <c r="N3029" t="str">
        <f>"248030201612"</f>
        <v>248030201612</v>
      </c>
      <c r="O3029" t="str">
        <f>"460003200008212210"</f>
        <v>460003200008212210</v>
      </c>
    </row>
    <row r="3030" customFormat="1" spans="1:15">
      <c r="A3030">
        <v>4050</v>
      </c>
      <c r="B3030" t="s">
        <v>3604</v>
      </c>
      <c r="C3030" t="str">
        <f>"460033199501014886"</f>
        <v>460033199501014886</v>
      </c>
      <c r="D3030" t="str">
        <f>"248030500130"</f>
        <v>248030500130</v>
      </c>
      <c r="L3030">
        <v>4050</v>
      </c>
      <c r="M3030" t="s">
        <v>3604</v>
      </c>
      <c r="N3030" t="str">
        <f>"248030500130"</f>
        <v>248030500130</v>
      </c>
      <c r="O3030" t="str">
        <f>"460033199501014886"</f>
        <v>460033199501014886</v>
      </c>
    </row>
    <row r="3031" customFormat="1" spans="1:15">
      <c r="A3031">
        <v>4051</v>
      </c>
      <c r="B3031" t="s">
        <v>3605</v>
      </c>
      <c r="C3031" t="str">
        <f>"460036199911221510"</f>
        <v>460036199911221510</v>
      </c>
      <c r="D3031" t="str">
        <f>"248030403424"</f>
        <v>248030403424</v>
      </c>
      <c r="L3031">
        <v>4051</v>
      </c>
      <c r="M3031" t="s">
        <v>3605</v>
      </c>
      <c r="N3031" t="str">
        <f>"248030403424"</f>
        <v>248030403424</v>
      </c>
      <c r="O3031" t="str">
        <f>"460036199911221510"</f>
        <v>460036199911221510</v>
      </c>
    </row>
    <row r="3032" customFormat="1" spans="1:15">
      <c r="A3032">
        <v>4053</v>
      </c>
      <c r="B3032" t="s">
        <v>3606</v>
      </c>
      <c r="C3032" t="str">
        <f>"460200200011294925"</f>
        <v>460200200011294925</v>
      </c>
      <c r="D3032" t="str">
        <f>"248030203913"</f>
        <v>248030203913</v>
      </c>
      <c r="L3032">
        <v>4053</v>
      </c>
      <c r="M3032" t="s">
        <v>3606</v>
      </c>
      <c r="N3032" t="str">
        <f>"248030203913"</f>
        <v>248030203913</v>
      </c>
      <c r="O3032" t="str">
        <f>"460200200011294925"</f>
        <v>460200200011294925</v>
      </c>
    </row>
    <row r="3033" customFormat="1" spans="1:15">
      <c r="A3033">
        <v>4054</v>
      </c>
      <c r="B3033" t="s">
        <v>3607</v>
      </c>
      <c r="C3033" t="str">
        <f>"460003199802207616"</f>
        <v>460003199802207616</v>
      </c>
      <c r="D3033" t="str">
        <f>"248030201705"</f>
        <v>248030201705</v>
      </c>
      <c r="L3033">
        <v>4054</v>
      </c>
      <c r="M3033" t="s">
        <v>3607</v>
      </c>
      <c r="N3033" t="str">
        <f>"248030201705"</f>
        <v>248030201705</v>
      </c>
      <c r="O3033" t="str">
        <f>"460003199802207616"</f>
        <v>460003199802207616</v>
      </c>
    </row>
    <row r="3034" customFormat="1" spans="1:15">
      <c r="A3034">
        <v>4055</v>
      </c>
      <c r="B3034" t="s">
        <v>3608</v>
      </c>
      <c r="C3034" t="str">
        <f>"210905200110181022"</f>
        <v>210905200110181022</v>
      </c>
      <c r="D3034" t="str">
        <f>"248030502411"</f>
        <v>248030502411</v>
      </c>
      <c r="L3034">
        <v>4055</v>
      </c>
      <c r="M3034" t="s">
        <v>3608</v>
      </c>
      <c r="N3034" t="str">
        <f>"248030502411"</f>
        <v>248030502411</v>
      </c>
      <c r="O3034" t="str">
        <f>"210905200110181022"</f>
        <v>210905200110181022</v>
      </c>
    </row>
    <row r="3035" customFormat="1" spans="1:15">
      <c r="A3035">
        <v>4056</v>
      </c>
      <c r="B3035" t="s">
        <v>3609</v>
      </c>
      <c r="C3035" t="str">
        <f>"469024200111162426"</f>
        <v>469024200111162426</v>
      </c>
      <c r="D3035" t="str">
        <f>"248030102428"</f>
        <v>248030102428</v>
      </c>
      <c r="L3035">
        <v>4056</v>
      </c>
      <c r="M3035" t="s">
        <v>3609</v>
      </c>
      <c r="N3035" t="str">
        <f>"248030102428"</f>
        <v>248030102428</v>
      </c>
      <c r="O3035" t="str">
        <f>"469024200111162426"</f>
        <v>469024200111162426</v>
      </c>
    </row>
    <row r="3036" customFormat="1" spans="1:15">
      <c r="A3036">
        <v>4057</v>
      </c>
      <c r="B3036" t="s">
        <v>3610</v>
      </c>
      <c r="C3036" t="str">
        <f>"440882200008226124"</f>
        <v>440882200008226124</v>
      </c>
      <c r="D3036" t="str">
        <f>"248030100105"</f>
        <v>248030100105</v>
      </c>
      <c r="L3036">
        <v>4057</v>
      </c>
      <c r="M3036" t="s">
        <v>3610</v>
      </c>
      <c r="N3036" t="str">
        <f>"248030100105"</f>
        <v>248030100105</v>
      </c>
      <c r="O3036" t="str">
        <f>"440882200008226124"</f>
        <v>440882200008226124</v>
      </c>
    </row>
    <row r="3037" customFormat="1" spans="1:15">
      <c r="A3037">
        <v>4058</v>
      </c>
      <c r="B3037" t="s">
        <v>274</v>
      </c>
      <c r="C3037" t="str">
        <f>"460027200104094120"</f>
        <v>460027200104094120</v>
      </c>
      <c r="D3037" t="str">
        <f>"248030103217"</f>
        <v>248030103217</v>
      </c>
      <c r="L3037">
        <v>4058</v>
      </c>
      <c r="M3037" t="s">
        <v>274</v>
      </c>
      <c r="N3037" t="str">
        <f>"248030103217"</f>
        <v>248030103217</v>
      </c>
      <c r="O3037" t="str">
        <f>"460027200104094120"</f>
        <v>460027200104094120</v>
      </c>
    </row>
    <row r="3038" customFormat="1" spans="1:15">
      <c r="A3038">
        <v>4060</v>
      </c>
      <c r="B3038" t="s">
        <v>3611</v>
      </c>
      <c r="C3038" t="str">
        <f>"460004198611173822"</f>
        <v>460004198611173822</v>
      </c>
      <c r="D3038" t="str">
        <f>"248030400703"</f>
        <v>248030400703</v>
      </c>
      <c r="L3038">
        <v>4060</v>
      </c>
      <c r="M3038" t="s">
        <v>3611</v>
      </c>
      <c r="N3038" t="str">
        <f>"248030400703"</f>
        <v>248030400703</v>
      </c>
      <c r="O3038" t="str">
        <f>"460004198611173822"</f>
        <v>460004198611173822</v>
      </c>
    </row>
    <row r="3039" customFormat="1" spans="1:15">
      <c r="A3039">
        <v>4061</v>
      </c>
      <c r="B3039" t="s">
        <v>3612</v>
      </c>
      <c r="C3039" t="str">
        <f>"460002199208131026"</f>
        <v>460002199208131026</v>
      </c>
      <c r="L3039">
        <v>4061</v>
      </c>
      <c r="M3039" t="s">
        <v>3612</v>
      </c>
      <c r="O3039" t="str">
        <f>"460002199208131026"</f>
        <v>460002199208131026</v>
      </c>
    </row>
    <row r="3040" customFormat="1" spans="1:15">
      <c r="A3040">
        <v>4062</v>
      </c>
      <c r="B3040" t="s">
        <v>3613</v>
      </c>
      <c r="C3040" t="str">
        <f>"460007199606010424"</f>
        <v>460007199606010424</v>
      </c>
      <c r="D3040" t="str">
        <f>"248030104015"</f>
        <v>248030104015</v>
      </c>
      <c r="L3040">
        <v>4062</v>
      </c>
      <c r="M3040" t="s">
        <v>3613</v>
      </c>
      <c r="N3040" t="str">
        <f>"248030104015"</f>
        <v>248030104015</v>
      </c>
      <c r="O3040" t="str">
        <f>"460007199606010424"</f>
        <v>460007199606010424</v>
      </c>
    </row>
    <row r="3041" customFormat="1" spans="1:15">
      <c r="A3041">
        <v>4065</v>
      </c>
      <c r="B3041" t="s">
        <v>121</v>
      </c>
      <c r="C3041" t="str">
        <f>"220502199109011021"</f>
        <v>220502199109011021</v>
      </c>
      <c r="D3041" t="str">
        <f>"248030102108"</f>
        <v>248030102108</v>
      </c>
      <c r="L3041">
        <v>4065</v>
      </c>
      <c r="M3041" t="s">
        <v>121</v>
      </c>
      <c r="N3041" t="str">
        <f>"248030102108"</f>
        <v>248030102108</v>
      </c>
      <c r="O3041" t="str">
        <f>"220502199109011021"</f>
        <v>220502199109011021</v>
      </c>
    </row>
    <row r="3042" customFormat="1" spans="1:15">
      <c r="A3042">
        <v>4066</v>
      </c>
      <c r="B3042" t="s">
        <v>3614</v>
      </c>
      <c r="C3042" t="str">
        <f>"469023200010094122"</f>
        <v>469023200010094122</v>
      </c>
      <c r="D3042" t="str">
        <f>"248030202825"</f>
        <v>248030202825</v>
      </c>
      <c r="L3042">
        <v>4066</v>
      </c>
      <c r="M3042" t="s">
        <v>3614</v>
      </c>
      <c r="N3042" t="str">
        <f>"248030202825"</f>
        <v>248030202825</v>
      </c>
      <c r="O3042" t="str">
        <f>"469023200010094122"</f>
        <v>469023200010094122</v>
      </c>
    </row>
    <row r="3043" customFormat="1" spans="1:15">
      <c r="A3043">
        <v>4068</v>
      </c>
      <c r="B3043" t="s">
        <v>3615</v>
      </c>
      <c r="C3043" t="str">
        <f>"460030199411013020"</f>
        <v>460030199411013020</v>
      </c>
      <c r="D3043" t="str">
        <f>"248030301910"</f>
        <v>248030301910</v>
      </c>
      <c r="L3043">
        <v>4068</v>
      </c>
      <c r="M3043" t="s">
        <v>3615</v>
      </c>
      <c r="N3043" t="str">
        <f>"248030301910"</f>
        <v>248030301910</v>
      </c>
      <c r="O3043" t="str">
        <f>"460030199411013020"</f>
        <v>460030199411013020</v>
      </c>
    </row>
    <row r="3044" customFormat="1" spans="1:15">
      <c r="A3044">
        <v>4069</v>
      </c>
      <c r="B3044" t="s">
        <v>3616</v>
      </c>
      <c r="C3044" t="str">
        <f>"460006200102053120"</f>
        <v>460006200102053120</v>
      </c>
      <c r="L3044">
        <v>4069</v>
      </c>
      <c r="M3044" t="s">
        <v>3616</v>
      </c>
      <c r="O3044" t="str">
        <f>"460006200102053120"</f>
        <v>460006200102053120</v>
      </c>
    </row>
    <row r="3045" customFormat="1" spans="1:15">
      <c r="A3045">
        <v>4070</v>
      </c>
      <c r="B3045" t="s">
        <v>3617</v>
      </c>
      <c r="C3045" t="str">
        <f>"622722200008071023"</f>
        <v>622722200008071023</v>
      </c>
      <c r="D3045" t="str">
        <f>"248030200302"</f>
        <v>248030200302</v>
      </c>
      <c r="L3045">
        <v>4070</v>
      </c>
      <c r="M3045" t="s">
        <v>3617</v>
      </c>
      <c r="N3045" t="str">
        <f>"248030200302"</f>
        <v>248030200302</v>
      </c>
      <c r="O3045" t="str">
        <f>"622722200008071023"</f>
        <v>622722200008071023</v>
      </c>
    </row>
    <row r="3046" customFormat="1" spans="1:15">
      <c r="A3046">
        <v>4071</v>
      </c>
      <c r="B3046" t="s">
        <v>3618</v>
      </c>
      <c r="C3046" t="str">
        <f>"460036199505255213"</f>
        <v>460036199505255213</v>
      </c>
      <c r="L3046">
        <v>4071</v>
      </c>
      <c r="M3046" t="s">
        <v>3618</v>
      </c>
      <c r="O3046" t="str">
        <f>"460036199505255213"</f>
        <v>460036199505255213</v>
      </c>
    </row>
    <row r="3047" customFormat="1" spans="1:15">
      <c r="A3047">
        <v>4073</v>
      </c>
      <c r="B3047" t="s">
        <v>3619</v>
      </c>
      <c r="C3047" t="str">
        <f>"460007200002047213"</f>
        <v>460007200002047213</v>
      </c>
      <c r="L3047">
        <v>4073</v>
      </c>
      <c r="M3047" t="s">
        <v>3619</v>
      </c>
      <c r="O3047" t="str">
        <f>"460007200002047213"</f>
        <v>460007200002047213</v>
      </c>
    </row>
    <row r="3048" customFormat="1" spans="1:15">
      <c r="A3048">
        <v>4074</v>
      </c>
      <c r="B3048" t="s">
        <v>3620</v>
      </c>
      <c r="C3048" t="str">
        <f>"460027199710105680"</f>
        <v>460027199710105680</v>
      </c>
      <c r="L3048">
        <v>4074</v>
      </c>
      <c r="M3048" t="s">
        <v>3620</v>
      </c>
      <c r="O3048" t="str">
        <f>"460027199710105680"</f>
        <v>460027199710105680</v>
      </c>
    </row>
    <row r="3049" customFormat="1" spans="1:15">
      <c r="A3049">
        <v>4075</v>
      </c>
      <c r="B3049" t="s">
        <v>3621</v>
      </c>
      <c r="C3049" t="str">
        <f>"460026200204200326"</f>
        <v>460026200204200326</v>
      </c>
      <c r="D3049" t="str">
        <f>"248030301602"</f>
        <v>248030301602</v>
      </c>
      <c r="L3049">
        <v>4075</v>
      </c>
      <c r="M3049" t="s">
        <v>3621</v>
      </c>
      <c r="N3049" t="str">
        <f>"248030301602"</f>
        <v>248030301602</v>
      </c>
      <c r="O3049" t="str">
        <f>"460026200204200326"</f>
        <v>460026200204200326</v>
      </c>
    </row>
    <row r="3050" customFormat="1" spans="1:15">
      <c r="A3050">
        <v>4076</v>
      </c>
      <c r="B3050" t="s">
        <v>3622</v>
      </c>
      <c r="C3050" t="str">
        <f>"46000319980303442X"</f>
        <v>46000319980303442X</v>
      </c>
      <c r="D3050" t="str">
        <f>"248030300523"</f>
        <v>248030300523</v>
      </c>
      <c r="L3050">
        <v>4076</v>
      </c>
      <c r="M3050" t="s">
        <v>3622</v>
      </c>
      <c r="N3050" t="str">
        <f>"248030300523"</f>
        <v>248030300523</v>
      </c>
      <c r="O3050" t="str">
        <f>"46000319980303442X"</f>
        <v>46000319980303442X</v>
      </c>
    </row>
    <row r="3051" customFormat="1" spans="1:15">
      <c r="A3051">
        <v>4077</v>
      </c>
      <c r="B3051" t="s">
        <v>3623</v>
      </c>
      <c r="C3051" t="str">
        <f>"460002200107022029"</f>
        <v>460002200107022029</v>
      </c>
      <c r="D3051" t="str">
        <f>"248030501007"</f>
        <v>248030501007</v>
      </c>
      <c r="L3051">
        <v>4077</v>
      </c>
      <c r="M3051" t="s">
        <v>3623</v>
      </c>
      <c r="N3051" t="str">
        <f>"248030501007"</f>
        <v>248030501007</v>
      </c>
      <c r="O3051" t="str">
        <f>"460002200107022029"</f>
        <v>460002200107022029</v>
      </c>
    </row>
    <row r="3052" customFormat="1" spans="1:15">
      <c r="A3052">
        <v>4078</v>
      </c>
      <c r="B3052" t="s">
        <v>3624</v>
      </c>
      <c r="C3052" t="str">
        <f>"430181200109243728"</f>
        <v>430181200109243728</v>
      </c>
      <c r="L3052">
        <v>4078</v>
      </c>
      <c r="M3052" t="s">
        <v>3624</v>
      </c>
      <c r="O3052" t="str">
        <f>"430181200109243728"</f>
        <v>430181200109243728</v>
      </c>
    </row>
    <row r="3053" customFormat="1" spans="1:15">
      <c r="A3053">
        <v>4081</v>
      </c>
      <c r="B3053" t="s">
        <v>3625</v>
      </c>
      <c r="C3053" t="str">
        <f>"460026200109160020"</f>
        <v>460026200109160020</v>
      </c>
      <c r="D3053" t="str">
        <f>"248030400110"</f>
        <v>248030400110</v>
      </c>
      <c r="L3053">
        <v>4081</v>
      </c>
      <c r="M3053" t="s">
        <v>3625</v>
      </c>
      <c r="N3053" t="str">
        <f>"248030400110"</f>
        <v>248030400110</v>
      </c>
      <c r="O3053" t="str">
        <f>"460026200109160020"</f>
        <v>460026200109160020</v>
      </c>
    </row>
    <row r="3054" customFormat="1" spans="1:15">
      <c r="A3054">
        <v>4082</v>
      </c>
      <c r="B3054" t="s">
        <v>3626</v>
      </c>
      <c r="C3054" t="str">
        <f>"460104198811300625"</f>
        <v>460104198811300625</v>
      </c>
      <c r="D3054" t="str">
        <f>"248030103122"</f>
        <v>248030103122</v>
      </c>
      <c r="L3054">
        <v>4082</v>
      </c>
      <c r="M3054" t="s">
        <v>3626</v>
      </c>
      <c r="N3054" t="str">
        <f>"248030103122"</f>
        <v>248030103122</v>
      </c>
      <c r="O3054" t="str">
        <f>"460104198811300625"</f>
        <v>460104198811300625</v>
      </c>
    </row>
    <row r="3055" customFormat="1" spans="1:15">
      <c r="A3055">
        <v>4085</v>
      </c>
      <c r="B3055" t="s">
        <v>3627</v>
      </c>
      <c r="C3055" t="str">
        <f>"469007199510054965"</f>
        <v>469007199510054965</v>
      </c>
      <c r="L3055">
        <v>4085</v>
      </c>
      <c r="M3055" t="s">
        <v>3627</v>
      </c>
      <c r="O3055" t="str">
        <f>"469007199510054965"</f>
        <v>469007199510054965</v>
      </c>
    </row>
    <row r="3056" customFormat="1" spans="1:15">
      <c r="A3056">
        <v>4087</v>
      </c>
      <c r="B3056" t="s">
        <v>3628</v>
      </c>
      <c r="C3056" t="str">
        <f>"460034200008120425"</f>
        <v>460034200008120425</v>
      </c>
      <c r="D3056" t="str">
        <f>"248030200730"</f>
        <v>248030200730</v>
      </c>
      <c r="L3056">
        <v>4087</v>
      </c>
      <c r="M3056" t="s">
        <v>3628</v>
      </c>
      <c r="N3056" t="str">
        <f>"248030200730"</f>
        <v>248030200730</v>
      </c>
      <c r="O3056" t="str">
        <f>"460034200008120425"</f>
        <v>460034200008120425</v>
      </c>
    </row>
    <row r="3057" customFormat="1" spans="1:15">
      <c r="A3057">
        <v>4088</v>
      </c>
      <c r="B3057" t="s">
        <v>3629</v>
      </c>
      <c r="C3057" t="str">
        <f>"460006200109132323"</f>
        <v>460006200109132323</v>
      </c>
      <c r="D3057" t="str">
        <f>"248030501518"</f>
        <v>248030501518</v>
      </c>
      <c r="L3057">
        <v>4088</v>
      </c>
      <c r="M3057" t="s">
        <v>3629</v>
      </c>
      <c r="N3057" t="str">
        <f>"248030501518"</f>
        <v>248030501518</v>
      </c>
      <c r="O3057" t="str">
        <f>"460006200109132323"</f>
        <v>460006200109132323</v>
      </c>
    </row>
    <row r="3058" customFormat="1" spans="1:15">
      <c r="A3058">
        <v>4089</v>
      </c>
      <c r="B3058" t="s">
        <v>3630</v>
      </c>
      <c r="C3058" t="str">
        <f>"460028199404263628"</f>
        <v>460028199404263628</v>
      </c>
      <c r="D3058" t="str">
        <f>"248030103123"</f>
        <v>248030103123</v>
      </c>
      <c r="L3058">
        <v>4089</v>
      </c>
      <c r="M3058" t="s">
        <v>3630</v>
      </c>
      <c r="N3058" t="str">
        <f>"248030103123"</f>
        <v>248030103123</v>
      </c>
      <c r="O3058" t="str">
        <f>"460028199404263628"</f>
        <v>460028199404263628</v>
      </c>
    </row>
    <row r="3059" customFormat="1" spans="1:15">
      <c r="A3059">
        <v>4090</v>
      </c>
      <c r="B3059" t="s">
        <v>76</v>
      </c>
      <c r="C3059" t="str">
        <f>"130205198903260320"</f>
        <v>130205198903260320</v>
      </c>
      <c r="D3059" t="str">
        <f>"248030202819"</f>
        <v>248030202819</v>
      </c>
      <c r="L3059">
        <v>4090</v>
      </c>
      <c r="M3059" t="s">
        <v>76</v>
      </c>
      <c r="N3059" t="str">
        <f>"248030202819"</f>
        <v>248030202819</v>
      </c>
      <c r="O3059" t="str">
        <f>"130205198903260320"</f>
        <v>130205198903260320</v>
      </c>
    </row>
    <row r="3060" customFormat="1" spans="1:15">
      <c r="A3060">
        <v>4091</v>
      </c>
      <c r="B3060" t="s">
        <v>3631</v>
      </c>
      <c r="C3060" t="str">
        <f>"460003199805287228"</f>
        <v>460003199805287228</v>
      </c>
      <c r="D3060" t="str">
        <f>"248030503825"</f>
        <v>248030503825</v>
      </c>
      <c r="L3060">
        <v>4091</v>
      </c>
      <c r="M3060" t="s">
        <v>3631</v>
      </c>
      <c r="N3060" t="str">
        <f>"248030503825"</f>
        <v>248030503825</v>
      </c>
      <c r="O3060" t="str">
        <f>"460003199805287228"</f>
        <v>460003199805287228</v>
      </c>
    </row>
    <row r="3061" customFormat="1" spans="1:15">
      <c r="A3061">
        <v>4092</v>
      </c>
      <c r="B3061" t="s">
        <v>3632</v>
      </c>
      <c r="C3061" t="str">
        <f>"46902719991119688X"</f>
        <v>46902719991119688X</v>
      </c>
      <c r="D3061" t="str">
        <f>"248030403420"</f>
        <v>248030403420</v>
      </c>
      <c r="L3061">
        <v>4092</v>
      </c>
      <c r="M3061" t="s">
        <v>3632</v>
      </c>
      <c r="N3061" t="str">
        <f>"248030403420"</f>
        <v>248030403420</v>
      </c>
      <c r="O3061" t="str">
        <f>"46902719991119688X"</f>
        <v>46902719991119688X</v>
      </c>
    </row>
    <row r="3062" customFormat="1" spans="1:15">
      <c r="A3062">
        <v>4093</v>
      </c>
      <c r="B3062" t="s">
        <v>238</v>
      </c>
      <c r="C3062" t="str">
        <f>"46000420000525581X"</f>
        <v>46000420000525581X</v>
      </c>
      <c r="D3062" t="str">
        <f>"248030102413"</f>
        <v>248030102413</v>
      </c>
      <c r="L3062">
        <v>4093</v>
      </c>
      <c r="M3062" t="s">
        <v>238</v>
      </c>
      <c r="N3062" t="str">
        <f>"248030102413"</f>
        <v>248030102413</v>
      </c>
      <c r="O3062" t="str">
        <f>"46000420000525581X"</f>
        <v>46000420000525581X</v>
      </c>
    </row>
    <row r="3063" customFormat="1" spans="1:15">
      <c r="A3063">
        <v>4094</v>
      </c>
      <c r="B3063" t="s">
        <v>3633</v>
      </c>
      <c r="C3063" t="str">
        <f>"46000319970404418X"</f>
        <v>46000319970404418X</v>
      </c>
      <c r="D3063" t="str">
        <f>"248030301810"</f>
        <v>248030301810</v>
      </c>
      <c r="L3063">
        <v>4094</v>
      </c>
      <c r="M3063" t="s">
        <v>3633</v>
      </c>
      <c r="N3063" t="str">
        <f>"248030301810"</f>
        <v>248030301810</v>
      </c>
      <c r="O3063" t="str">
        <f>"46000319970404418X"</f>
        <v>46000319970404418X</v>
      </c>
    </row>
    <row r="3064" customFormat="1" spans="1:15">
      <c r="A3064">
        <v>4096</v>
      </c>
      <c r="B3064" t="s">
        <v>3634</v>
      </c>
      <c r="C3064" t="str">
        <f>"460103199206160028"</f>
        <v>460103199206160028</v>
      </c>
      <c r="D3064" t="str">
        <f>"248030104316"</f>
        <v>248030104316</v>
      </c>
      <c r="L3064">
        <v>4096</v>
      </c>
      <c r="M3064" t="s">
        <v>3634</v>
      </c>
      <c r="N3064" t="str">
        <f>"248030104316"</f>
        <v>248030104316</v>
      </c>
      <c r="O3064" t="str">
        <f>"460103199206160028"</f>
        <v>460103199206160028</v>
      </c>
    </row>
    <row r="3065" customFormat="1" spans="1:15">
      <c r="A3065">
        <v>4098</v>
      </c>
      <c r="B3065" t="s">
        <v>3635</v>
      </c>
      <c r="C3065" t="str">
        <f>"460036199706252123"</f>
        <v>460036199706252123</v>
      </c>
      <c r="D3065" t="str">
        <f>"248030104913"</f>
        <v>248030104913</v>
      </c>
      <c r="L3065">
        <v>4098</v>
      </c>
      <c r="M3065" t="s">
        <v>3635</v>
      </c>
      <c r="N3065" t="str">
        <f>"248030104913"</f>
        <v>248030104913</v>
      </c>
      <c r="O3065" t="str">
        <f>"460036199706252123"</f>
        <v>460036199706252123</v>
      </c>
    </row>
    <row r="3066" customFormat="1" spans="1:15">
      <c r="A3066">
        <v>4099</v>
      </c>
      <c r="B3066" t="s">
        <v>3636</v>
      </c>
      <c r="C3066" t="str">
        <f>"460006200008128720"</f>
        <v>460006200008128720</v>
      </c>
      <c r="L3066">
        <v>4099</v>
      </c>
      <c r="M3066" t="s">
        <v>3636</v>
      </c>
      <c r="O3066" t="str">
        <f>"460006200008128720"</f>
        <v>460006200008128720</v>
      </c>
    </row>
    <row r="3067" customFormat="1" spans="1:15">
      <c r="A3067">
        <v>4100</v>
      </c>
      <c r="B3067" t="s">
        <v>741</v>
      </c>
      <c r="C3067" t="str">
        <f>"430421200104204340"</f>
        <v>430421200104204340</v>
      </c>
      <c r="D3067" t="str">
        <f>"248030203629"</f>
        <v>248030203629</v>
      </c>
      <c r="L3067">
        <v>4100</v>
      </c>
      <c r="M3067" t="s">
        <v>741</v>
      </c>
      <c r="N3067" t="str">
        <f>"248030203629"</f>
        <v>248030203629</v>
      </c>
      <c r="O3067" t="str">
        <f>"430421200104204340"</f>
        <v>430421200104204340</v>
      </c>
    </row>
    <row r="3068" customFormat="1" spans="1:15">
      <c r="A3068">
        <v>4102</v>
      </c>
      <c r="B3068" t="s">
        <v>3637</v>
      </c>
      <c r="C3068" t="str">
        <f>"460003199911074824"</f>
        <v>460003199911074824</v>
      </c>
      <c r="L3068">
        <v>4102</v>
      </c>
      <c r="M3068" t="s">
        <v>3637</v>
      </c>
      <c r="O3068" t="str">
        <f>"460003199911074824"</f>
        <v>460003199911074824</v>
      </c>
    </row>
    <row r="3069" customFormat="1" spans="1:15">
      <c r="A3069">
        <v>4103</v>
      </c>
      <c r="B3069" t="s">
        <v>3638</v>
      </c>
      <c r="C3069" t="str">
        <f>"460025199807290322"</f>
        <v>460025199807290322</v>
      </c>
      <c r="D3069" t="str">
        <f>"248030102412"</f>
        <v>248030102412</v>
      </c>
      <c r="L3069">
        <v>4103</v>
      </c>
      <c r="M3069" t="s">
        <v>3638</v>
      </c>
      <c r="N3069" t="str">
        <f>"248030102412"</f>
        <v>248030102412</v>
      </c>
      <c r="O3069" t="str">
        <f>"460025199807290322"</f>
        <v>460025199807290322</v>
      </c>
    </row>
    <row r="3070" customFormat="1" spans="1:15">
      <c r="A3070">
        <v>4105</v>
      </c>
      <c r="B3070" t="s">
        <v>3639</v>
      </c>
      <c r="C3070" t="str">
        <f>"460033199911214784"</f>
        <v>460033199911214784</v>
      </c>
      <c r="D3070" t="str">
        <f>"248030104907"</f>
        <v>248030104907</v>
      </c>
      <c r="L3070">
        <v>4105</v>
      </c>
      <c r="M3070" t="s">
        <v>3639</v>
      </c>
      <c r="N3070" t="str">
        <f>"248030104907"</f>
        <v>248030104907</v>
      </c>
      <c r="O3070" t="str">
        <f>"460033199911214784"</f>
        <v>460033199911214784</v>
      </c>
    </row>
    <row r="3071" customFormat="1" spans="1:15">
      <c r="A3071">
        <v>4107</v>
      </c>
      <c r="B3071" t="s">
        <v>3640</v>
      </c>
      <c r="C3071" t="str">
        <f>"142622199902167526"</f>
        <v>142622199902167526</v>
      </c>
      <c r="D3071" t="str">
        <f>"248030104105"</f>
        <v>248030104105</v>
      </c>
      <c r="L3071">
        <v>4107</v>
      </c>
      <c r="M3071" t="s">
        <v>3640</v>
      </c>
      <c r="N3071" t="str">
        <f>"248030104105"</f>
        <v>248030104105</v>
      </c>
      <c r="O3071" t="str">
        <f>"142622199902167526"</f>
        <v>142622199902167526</v>
      </c>
    </row>
    <row r="3072" customFormat="1" spans="1:15">
      <c r="A3072">
        <v>4108</v>
      </c>
      <c r="B3072" t="s">
        <v>3641</v>
      </c>
      <c r="C3072" t="str">
        <f>"46003319910801322X"</f>
        <v>46003319910801322X</v>
      </c>
      <c r="D3072" t="str">
        <f>"248030104309"</f>
        <v>248030104309</v>
      </c>
      <c r="L3072">
        <v>4108</v>
      </c>
      <c r="M3072" t="s">
        <v>3641</v>
      </c>
      <c r="N3072" t="str">
        <f>"248030104309"</f>
        <v>248030104309</v>
      </c>
      <c r="O3072" t="str">
        <f>"46003319910801322X"</f>
        <v>46003319910801322X</v>
      </c>
    </row>
    <row r="3073" customFormat="1" spans="1:15">
      <c r="A3073">
        <v>4109</v>
      </c>
      <c r="B3073" t="s">
        <v>3642</v>
      </c>
      <c r="C3073" t="str">
        <f>"460004200012110424"</f>
        <v>460004200012110424</v>
      </c>
      <c r="L3073">
        <v>4109</v>
      </c>
      <c r="M3073" t="s">
        <v>3642</v>
      </c>
      <c r="O3073" t="str">
        <f>"460004200012110424"</f>
        <v>460004200012110424</v>
      </c>
    </row>
    <row r="3074" customFormat="1" spans="1:15">
      <c r="A3074">
        <v>4110</v>
      </c>
      <c r="B3074" t="s">
        <v>3643</v>
      </c>
      <c r="C3074" t="str">
        <f>"46003119941006122X"</f>
        <v>46003119941006122X</v>
      </c>
      <c r="L3074">
        <v>4110</v>
      </c>
      <c r="M3074" t="s">
        <v>3643</v>
      </c>
      <c r="O3074" t="str">
        <f>"46003119941006122X"</f>
        <v>46003119941006122X</v>
      </c>
    </row>
    <row r="3075" customFormat="1" spans="1:15">
      <c r="A3075">
        <v>4111</v>
      </c>
      <c r="B3075" t="s">
        <v>956</v>
      </c>
      <c r="C3075" t="str">
        <f>"411528199609203062"</f>
        <v>411528199609203062</v>
      </c>
      <c r="D3075" t="str">
        <f>"248030503406"</f>
        <v>248030503406</v>
      </c>
      <c r="L3075">
        <v>4111</v>
      </c>
      <c r="M3075" t="s">
        <v>956</v>
      </c>
      <c r="N3075" t="str">
        <f>"248030503406"</f>
        <v>248030503406</v>
      </c>
      <c r="O3075" t="str">
        <f>"411528199609203062"</f>
        <v>411528199609203062</v>
      </c>
    </row>
    <row r="3076" customFormat="1" spans="1:15">
      <c r="A3076">
        <v>4112</v>
      </c>
      <c r="B3076" t="s">
        <v>3644</v>
      </c>
      <c r="C3076" t="str">
        <f>"469003200106172724"</f>
        <v>469003200106172724</v>
      </c>
      <c r="D3076" t="str">
        <f>"248030503606"</f>
        <v>248030503606</v>
      </c>
      <c r="L3076">
        <v>4112</v>
      </c>
      <c r="M3076" t="s">
        <v>3644</v>
      </c>
      <c r="N3076" t="str">
        <f>"248030503606"</f>
        <v>248030503606</v>
      </c>
      <c r="O3076" t="str">
        <f>"469003200106172724"</f>
        <v>469003200106172724</v>
      </c>
    </row>
    <row r="3077" customFormat="1" spans="1:15">
      <c r="A3077">
        <v>4114</v>
      </c>
      <c r="B3077" t="s">
        <v>3645</v>
      </c>
      <c r="C3077" t="str">
        <f>"460034199112170021"</f>
        <v>460034199112170021</v>
      </c>
      <c r="D3077" t="str">
        <f>"248030503502"</f>
        <v>248030503502</v>
      </c>
      <c r="L3077">
        <v>4114</v>
      </c>
      <c r="M3077" t="s">
        <v>3645</v>
      </c>
      <c r="N3077" t="str">
        <f>"248030503502"</f>
        <v>248030503502</v>
      </c>
      <c r="O3077" t="str">
        <f>"460034199112170021"</f>
        <v>460034199112170021</v>
      </c>
    </row>
    <row r="3078" customFormat="1" spans="1:15">
      <c r="A3078">
        <v>4115</v>
      </c>
      <c r="B3078" t="s">
        <v>3646</v>
      </c>
      <c r="C3078" t="str">
        <f>"460003199902052228"</f>
        <v>460003199902052228</v>
      </c>
      <c r="L3078">
        <v>4115</v>
      </c>
      <c r="M3078" t="s">
        <v>3646</v>
      </c>
      <c r="O3078" t="str">
        <f>"460003199902052228"</f>
        <v>460003199902052228</v>
      </c>
    </row>
    <row r="3079" customFormat="1" spans="1:15">
      <c r="A3079">
        <v>4116</v>
      </c>
      <c r="B3079" t="s">
        <v>3647</v>
      </c>
      <c r="C3079" t="str">
        <f>"460027199909157621"</f>
        <v>460027199909157621</v>
      </c>
      <c r="D3079" t="str">
        <f>"248030404016"</f>
        <v>248030404016</v>
      </c>
      <c r="L3079">
        <v>4116</v>
      </c>
      <c r="M3079" t="s">
        <v>3647</v>
      </c>
      <c r="N3079" t="str">
        <f>"248030404016"</f>
        <v>248030404016</v>
      </c>
      <c r="O3079" t="str">
        <f>"460027199909157621"</f>
        <v>460027199909157621</v>
      </c>
    </row>
    <row r="3080" customFormat="1" spans="1:15">
      <c r="A3080">
        <v>4117</v>
      </c>
      <c r="B3080" t="s">
        <v>3648</v>
      </c>
      <c r="C3080" t="str">
        <f>"410881199912263022"</f>
        <v>410881199912263022</v>
      </c>
      <c r="L3080">
        <v>4117</v>
      </c>
      <c r="M3080" t="s">
        <v>3648</v>
      </c>
      <c r="O3080" t="str">
        <f>"410881199912263022"</f>
        <v>410881199912263022</v>
      </c>
    </row>
    <row r="3081" customFormat="1" spans="1:15">
      <c r="A3081">
        <v>4119</v>
      </c>
      <c r="B3081" t="s">
        <v>3649</v>
      </c>
      <c r="C3081" t="str">
        <f>"460105200003157521"</f>
        <v>460105200003157521</v>
      </c>
      <c r="L3081">
        <v>4119</v>
      </c>
      <c r="M3081" t="s">
        <v>3649</v>
      </c>
      <c r="O3081" t="str">
        <f>"460105200003157521"</f>
        <v>460105200003157521</v>
      </c>
    </row>
    <row r="3082" customFormat="1" spans="1:15">
      <c r="A3082">
        <v>4121</v>
      </c>
      <c r="B3082" t="s">
        <v>648</v>
      </c>
      <c r="C3082" t="str">
        <f>"460004199901200635"</f>
        <v>460004199901200635</v>
      </c>
      <c r="D3082" t="str">
        <f>"248030302117"</f>
        <v>248030302117</v>
      </c>
      <c r="L3082">
        <v>4121</v>
      </c>
      <c r="M3082" t="s">
        <v>648</v>
      </c>
      <c r="N3082" t="str">
        <f>"248030302117"</f>
        <v>248030302117</v>
      </c>
      <c r="O3082" t="str">
        <f>"460004199901200635"</f>
        <v>460004199901200635</v>
      </c>
    </row>
    <row r="3083" customFormat="1" spans="1:15">
      <c r="A3083">
        <v>4123</v>
      </c>
      <c r="B3083" t="s">
        <v>707</v>
      </c>
      <c r="C3083" t="str">
        <f>"46010219980511182X"</f>
        <v>46010219980511182X</v>
      </c>
      <c r="D3083" t="str">
        <f>"248030100726"</f>
        <v>248030100726</v>
      </c>
      <c r="L3083">
        <v>4123</v>
      </c>
      <c r="M3083" t="s">
        <v>707</v>
      </c>
      <c r="N3083" t="str">
        <f>"248030100726"</f>
        <v>248030100726</v>
      </c>
      <c r="O3083" t="str">
        <f>"46010219980511182X"</f>
        <v>46010219980511182X</v>
      </c>
    </row>
    <row r="3084" customFormat="1" spans="1:15">
      <c r="A3084">
        <v>4124</v>
      </c>
      <c r="B3084" t="s">
        <v>3650</v>
      </c>
      <c r="C3084" t="str">
        <f>"46000719901119624X"</f>
        <v>46000719901119624X</v>
      </c>
      <c r="D3084" t="str">
        <f>"248030403918"</f>
        <v>248030403918</v>
      </c>
      <c r="L3084">
        <v>4124</v>
      </c>
      <c r="M3084" t="s">
        <v>3650</v>
      </c>
      <c r="N3084" t="str">
        <f>"248030403918"</f>
        <v>248030403918</v>
      </c>
      <c r="O3084" t="str">
        <f>"46000719901119624X"</f>
        <v>46000719901119624X</v>
      </c>
    </row>
    <row r="3085" customFormat="1" spans="1:15">
      <c r="A3085">
        <v>4125</v>
      </c>
      <c r="B3085" t="s">
        <v>3651</v>
      </c>
      <c r="C3085" t="str">
        <f>"460004199607090244"</f>
        <v>460004199607090244</v>
      </c>
      <c r="D3085" t="str">
        <f>"248030100112"</f>
        <v>248030100112</v>
      </c>
      <c r="L3085">
        <v>4125</v>
      </c>
      <c r="M3085" t="s">
        <v>3651</v>
      </c>
      <c r="N3085" t="str">
        <f>"248030100112"</f>
        <v>248030100112</v>
      </c>
      <c r="O3085" t="str">
        <f>"460004199607090244"</f>
        <v>460004199607090244</v>
      </c>
    </row>
    <row r="3086" customFormat="1" spans="1:15">
      <c r="A3086">
        <v>4126</v>
      </c>
      <c r="B3086" t="s">
        <v>3652</v>
      </c>
      <c r="C3086" t="str">
        <f>"460034199802064728"</f>
        <v>460034199802064728</v>
      </c>
      <c r="L3086">
        <v>4126</v>
      </c>
      <c r="M3086" t="s">
        <v>3652</v>
      </c>
      <c r="O3086" t="str">
        <f>"460034199802064728"</f>
        <v>460034199802064728</v>
      </c>
    </row>
    <row r="3087" customFormat="1" spans="1:15">
      <c r="A3087">
        <v>4127</v>
      </c>
      <c r="B3087" t="s">
        <v>1205</v>
      </c>
      <c r="C3087" t="str">
        <f>"460026200007061822"</f>
        <v>460026200007061822</v>
      </c>
      <c r="L3087">
        <v>4127</v>
      </c>
      <c r="M3087" t="s">
        <v>1205</v>
      </c>
      <c r="O3087" t="str">
        <f>"460026200007061822"</f>
        <v>460026200007061822</v>
      </c>
    </row>
    <row r="3088" customFormat="1" spans="1:15">
      <c r="A3088">
        <v>4128</v>
      </c>
      <c r="B3088" t="s">
        <v>3653</v>
      </c>
      <c r="C3088" t="str">
        <f>"469023199901185612"</f>
        <v>469023199901185612</v>
      </c>
      <c r="D3088" t="str">
        <f>"248030302229"</f>
        <v>248030302229</v>
      </c>
      <c r="L3088">
        <v>4128</v>
      </c>
      <c r="M3088" t="s">
        <v>3653</v>
      </c>
      <c r="N3088" t="str">
        <f>"248030302229"</f>
        <v>248030302229</v>
      </c>
      <c r="O3088" t="str">
        <f>"469023199901185612"</f>
        <v>469023199901185612</v>
      </c>
    </row>
    <row r="3089" customFormat="1" spans="1:15">
      <c r="A3089">
        <v>4129</v>
      </c>
      <c r="B3089" t="s">
        <v>3654</v>
      </c>
      <c r="C3089" t="str">
        <f>"460027199308210423"</f>
        <v>460027199308210423</v>
      </c>
      <c r="D3089" t="str">
        <f>"248030200617"</f>
        <v>248030200617</v>
      </c>
      <c r="L3089">
        <v>4129</v>
      </c>
      <c r="M3089" t="s">
        <v>3654</v>
      </c>
      <c r="N3089" t="str">
        <f>"248030200617"</f>
        <v>248030200617</v>
      </c>
      <c r="O3089" t="str">
        <f>"460027199308210423"</f>
        <v>460027199308210423</v>
      </c>
    </row>
    <row r="3090" customFormat="1" spans="1:15">
      <c r="A3090">
        <v>4130</v>
      </c>
      <c r="B3090" t="s">
        <v>3655</v>
      </c>
      <c r="C3090" t="str">
        <f>"460033200107180881"</f>
        <v>460033200107180881</v>
      </c>
      <c r="D3090" t="str">
        <f>"248030300604"</f>
        <v>248030300604</v>
      </c>
      <c r="L3090">
        <v>4130</v>
      </c>
      <c r="M3090" t="s">
        <v>3655</v>
      </c>
      <c r="N3090" t="str">
        <f>"248030300604"</f>
        <v>248030300604</v>
      </c>
      <c r="O3090" t="str">
        <f>"460033200107180881"</f>
        <v>460033200107180881</v>
      </c>
    </row>
    <row r="3091" customFormat="1" spans="1:15">
      <c r="A3091">
        <v>4131</v>
      </c>
      <c r="B3091" t="s">
        <v>3656</v>
      </c>
      <c r="C3091" t="str">
        <f>"460003199607271620"</f>
        <v>460003199607271620</v>
      </c>
      <c r="L3091">
        <v>4131</v>
      </c>
      <c r="M3091" t="s">
        <v>3656</v>
      </c>
      <c r="O3091" t="str">
        <f>"460003199607271620"</f>
        <v>460003199607271620</v>
      </c>
    </row>
    <row r="3092" customFormat="1" spans="1:15">
      <c r="A3092">
        <v>4132</v>
      </c>
      <c r="B3092" t="s">
        <v>3657</v>
      </c>
      <c r="C3092" t="str">
        <f>"370911199412242448"</f>
        <v>370911199412242448</v>
      </c>
      <c r="D3092" t="str">
        <f>"248030203029"</f>
        <v>248030203029</v>
      </c>
      <c r="L3092">
        <v>4132</v>
      </c>
      <c r="M3092" t="s">
        <v>3657</v>
      </c>
      <c r="N3092" t="str">
        <f>"248030203029"</f>
        <v>248030203029</v>
      </c>
      <c r="O3092" t="str">
        <f>"370911199412242448"</f>
        <v>370911199412242448</v>
      </c>
    </row>
    <row r="3093" customFormat="1" spans="1:15">
      <c r="A3093">
        <v>4133</v>
      </c>
      <c r="B3093" t="s">
        <v>3658</v>
      </c>
      <c r="C3093" t="str">
        <f>"131023199410130621"</f>
        <v>131023199410130621</v>
      </c>
      <c r="D3093" t="str">
        <f>"248030501702"</f>
        <v>248030501702</v>
      </c>
      <c r="L3093">
        <v>4133</v>
      </c>
      <c r="M3093" t="s">
        <v>3658</v>
      </c>
      <c r="N3093" t="str">
        <f>"248030501702"</f>
        <v>248030501702</v>
      </c>
      <c r="O3093" t="str">
        <f>"131023199410130621"</f>
        <v>131023199410130621</v>
      </c>
    </row>
    <row r="3094" customFormat="1" spans="1:15">
      <c r="A3094">
        <v>4134</v>
      </c>
      <c r="B3094" t="s">
        <v>3659</v>
      </c>
      <c r="C3094" t="str">
        <f>"460200199606203142"</f>
        <v>460200199606203142</v>
      </c>
      <c r="D3094" t="str">
        <f>"248030400112"</f>
        <v>248030400112</v>
      </c>
      <c r="L3094">
        <v>4134</v>
      </c>
      <c r="M3094" t="s">
        <v>3659</v>
      </c>
      <c r="N3094" t="str">
        <f>"248030400112"</f>
        <v>248030400112</v>
      </c>
      <c r="O3094" t="str">
        <f>"460200199606203142"</f>
        <v>460200199606203142</v>
      </c>
    </row>
    <row r="3095" customFormat="1" spans="1:15">
      <c r="A3095">
        <v>4135</v>
      </c>
      <c r="B3095" t="s">
        <v>3660</v>
      </c>
      <c r="C3095" t="str">
        <f>"460104199909160928"</f>
        <v>460104199909160928</v>
      </c>
      <c r="D3095" t="str">
        <f>"248030200708"</f>
        <v>248030200708</v>
      </c>
      <c r="L3095">
        <v>4135</v>
      </c>
      <c r="M3095" t="s">
        <v>3660</v>
      </c>
      <c r="N3095" t="str">
        <f>"248030200708"</f>
        <v>248030200708</v>
      </c>
      <c r="O3095" t="str">
        <f>"460104199909160928"</f>
        <v>460104199909160928</v>
      </c>
    </row>
    <row r="3096" customFormat="1" spans="1:15">
      <c r="A3096">
        <v>4136</v>
      </c>
      <c r="B3096" t="s">
        <v>3661</v>
      </c>
      <c r="C3096" t="str">
        <f>"460004200111120222"</f>
        <v>460004200111120222</v>
      </c>
      <c r="L3096">
        <v>4136</v>
      </c>
      <c r="M3096" t="s">
        <v>3661</v>
      </c>
      <c r="O3096" t="str">
        <f>"460004200111120222"</f>
        <v>460004200111120222</v>
      </c>
    </row>
    <row r="3097" customFormat="1" spans="1:15">
      <c r="A3097">
        <v>4137</v>
      </c>
      <c r="B3097" t="s">
        <v>3662</v>
      </c>
      <c r="C3097" t="str">
        <f>"460036198806165217"</f>
        <v>460036198806165217</v>
      </c>
      <c r="D3097" t="str">
        <f>"248030201522"</f>
        <v>248030201522</v>
      </c>
      <c r="L3097">
        <v>4137</v>
      </c>
      <c r="M3097" t="s">
        <v>3662</v>
      </c>
      <c r="N3097" t="str">
        <f>"248030201522"</f>
        <v>248030201522</v>
      </c>
      <c r="O3097" t="str">
        <f>"460036198806165217"</f>
        <v>460036198806165217</v>
      </c>
    </row>
    <row r="3098" customFormat="1" spans="1:15">
      <c r="A3098">
        <v>4139</v>
      </c>
      <c r="B3098" t="s">
        <v>3663</v>
      </c>
      <c r="C3098" t="str">
        <f>"460005199610011240"</f>
        <v>460005199610011240</v>
      </c>
      <c r="D3098" t="str">
        <f>"248030203418"</f>
        <v>248030203418</v>
      </c>
      <c r="L3098">
        <v>4139</v>
      </c>
      <c r="M3098" t="s">
        <v>3663</v>
      </c>
      <c r="N3098" t="str">
        <f>"248030203418"</f>
        <v>248030203418</v>
      </c>
      <c r="O3098" t="str">
        <f>"460005199610011240"</f>
        <v>460005199610011240</v>
      </c>
    </row>
    <row r="3099" customFormat="1" spans="1:15">
      <c r="A3099">
        <v>4140</v>
      </c>
      <c r="B3099" t="s">
        <v>3664</v>
      </c>
      <c r="C3099" t="str">
        <f>"460003199610103046"</f>
        <v>460003199610103046</v>
      </c>
      <c r="D3099" t="str">
        <f>"248030102521"</f>
        <v>248030102521</v>
      </c>
      <c r="L3099">
        <v>4140</v>
      </c>
      <c r="M3099" t="s">
        <v>3664</v>
      </c>
      <c r="N3099" t="str">
        <f>"248030102521"</f>
        <v>248030102521</v>
      </c>
      <c r="O3099" t="str">
        <f>"460003199610103046"</f>
        <v>460003199610103046</v>
      </c>
    </row>
    <row r="3100" customFormat="1" spans="1:15">
      <c r="A3100">
        <v>4141</v>
      </c>
      <c r="B3100" t="s">
        <v>3665</v>
      </c>
      <c r="C3100" t="str">
        <f>"460006199101042029"</f>
        <v>460006199101042029</v>
      </c>
      <c r="D3100" t="str">
        <f>"248030200609"</f>
        <v>248030200609</v>
      </c>
      <c r="L3100">
        <v>4141</v>
      </c>
      <c r="M3100" t="s">
        <v>3665</v>
      </c>
      <c r="N3100" t="str">
        <f>"248030200609"</f>
        <v>248030200609</v>
      </c>
      <c r="O3100" t="str">
        <f>"460006199101042029"</f>
        <v>460006199101042029</v>
      </c>
    </row>
    <row r="3101" customFormat="1" spans="1:15">
      <c r="A3101">
        <v>4142</v>
      </c>
      <c r="B3101" t="s">
        <v>3666</v>
      </c>
      <c r="C3101" t="str">
        <f>"460200199701094722"</f>
        <v>460200199701094722</v>
      </c>
      <c r="D3101" t="str">
        <f>"248030300508"</f>
        <v>248030300508</v>
      </c>
      <c r="L3101">
        <v>4142</v>
      </c>
      <c r="M3101" t="s">
        <v>3666</v>
      </c>
      <c r="N3101" t="str">
        <f>"248030300508"</f>
        <v>248030300508</v>
      </c>
      <c r="O3101" t="str">
        <f>"460200199701094722"</f>
        <v>460200199701094722</v>
      </c>
    </row>
    <row r="3102" customFormat="1" spans="1:15">
      <c r="A3102">
        <v>4143</v>
      </c>
      <c r="B3102" t="s">
        <v>652</v>
      </c>
      <c r="C3102" t="str">
        <f>"469003199203055612"</f>
        <v>469003199203055612</v>
      </c>
      <c r="D3102" t="str">
        <f>"248030202122"</f>
        <v>248030202122</v>
      </c>
      <c r="L3102">
        <v>4143</v>
      </c>
      <c r="M3102" t="s">
        <v>652</v>
      </c>
      <c r="N3102" t="str">
        <f>"248030202122"</f>
        <v>248030202122</v>
      </c>
      <c r="O3102" t="str">
        <f>"469003199203055612"</f>
        <v>469003199203055612</v>
      </c>
    </row>
    <row r="3103" customFormat="1" spans="1:15">
      <c r="A3103">
        <v>4144</v>
      </c>
      <c r="B3103" t="s">
        <v>3667</v>
      </c>
      <c r="C3103" t="str">
        <f>"460004200206290822"</f>
        <v>460004200206290822</v>
      </c>
      <c r="D3103" t="str">
        <f>"248030200805"</f>
        <v>248030200805</v>
      </c>
      <c r="L3103">
        <v>4144</v>
      </c>
      <c r="M3103" t="s">
        <v>3667</v>
      </c>
      <c r="N3103" t="str">
        <f>"248030200805"</f>
        <v>248030200805</v>
      </c>
      <c r="O3103" t="str">
        <f>"460004200206290822"</f>
        <v>460004200206290822</v>
      </c>
    </row>
    <row r="3104" customFormat="1" spans="1:15">
      <c r="A3104">
        <v>4145</v>
      </c>
      <c r="B3104" t="s">
        <v>3668</v>
      </c>
      <c r="C3104" t="str">
        <f>"362427199410297043"</f>
        <v>362427199410297043</v>
      </c>
      <c r="D3104" t="str">
        <f>"248030100101"</f>
        <v>248030100101</v>
      </c>
      <c r="L3104">
        <v>4145</v>
      </c>
      <c r="M3104" t="s">
        <v>3668</v>
      </c>
      <c r="N3104" t="str">
        <f>"248030100101"</f>
        <v>248030100101</v>
      </c>
      <c r="O3104" t="str">
        <f>"362427199410297043"</f>
        <v>362427199410297043</v>
      </c>
    </row>
    <row r="3105" customFormat="1" spans="1:15">
      <c r="A3105">
        <v>4146</v>
      </c>
      <c r="B3105" t="s">
        <v>3669</v>
      </c>
      <c r="C3105" t="str">
        <f>"460028199612210045"</f>
        <v>460028199612210045</v>
      </c>
      <c r="D3105" t="str">
        <f>"248030100622"</f>
        <v>248030100622</v>
      </c>
      <c r="L3105">
        <v>4146</v>
      </c>
      <c r="M3105" t="s">
        <v>3669</v>
      </c>
      <c r="N3105" t="str">
        <f>"248030100622"</f>
        <v>248030100622</v>
      </c>
      <c r="O3105" t="str">
        <f>"460028199612210045"</f>
        <v>460028199612210045</v>
      </c>
    </row>
    <row r="3106" customFormat="1" spans="1:15">
      <c r="A3106">
        <v>4147</v>
      </c>
      <c r="B3106" t="s">
        <v>3670</v>
      </c>
      <c r="C3106" t="str">
        <f>"460102199106150942"</f>
        <v>460102199106150942</v>
      </c>
      <c r="D3106" t="str">
        <f>"248030501417"</f>
        <v>248030501417</v>
      </c>
      <c r="L3106">
        <v>4147</v>
      </c>
      <c r="M3106" t="s">
        <v>3670</v>
      </c>
      <c r="N3106" t="str">
        <f>"248030501417"</f>
        <v>248030501417</v>
      </c>
      <c r="O3106" t="str">
        <f>"460102199106150942"</f>
        <v>460102199106150942</v>
      </c>
    </row>
    <row r="3107" customFormat="1" spans="1:15">
      <c r="A3107">
        <v>4148</v>
      </c>
      <c r="B3107" t="s">
        <v>3671</v>
      </c>
      <c r="C3107" t="str">
        <f>"469023200103318228"</f>
        <v>469023200103318228</v>
      </c>
      <c r="L3107">
        <v>4148</v>
      </c>
      <c r="M3107" t="s">
        <v>3671</v>
      </c>
      <c r="O3107" t="str">
        <f>"469023200103318228"</f>
        <v>469023200103318228</v>
      </c>
    </row>
    <row r="3108" customFormat="1" spans="1:15">
      <c r="A3108">
        <v>4149</v>
      </c>
      <c r="B3108" t="s">
        <v>3672</v>
      </c>
      <c r="C3108" t="str">
        <f>"460007199606095368"</f>
        <v>460007199606095368</v>
      </c>
      <c r="D3108" t="str">
        <f>"248030104125"</f>
        <v>248030104125</v>
      </c>
      <c r="L3108">
        <v>4149</v>
      </c>
      <c r="M3108" t="s">
        <v>3672</v>
      </c>
      <c r="N3108" t="str">
        <f>"248030104125"</f>
        <v>248030104125</v>
      </c>
      <c r="O3108" t="str">
        <f>"460007199606095368"</f>
        <v>460007199606095368</v>
      </c>
    </row>
    <row r="3109" customFormat="1" spans="1:15">
      <c r="A3109">
        <v>4150</v>
      </c>
      <c r="B3109" t="s">
        <v>3673</v>
      </c>
      <c r="C3109" t="str">
        <f>"460033200011164705"</f>
        <v>460033200011164705</v>
      </c>
      <c r="D3109" t="str">
        <f>"248030301026"</f>
        <v>248030301026</v>
      </c>
      <c r="L3109">
        <v>4150</v>
      </c>
      <c r="M3109" t="s">
        <v>3673</v>
      </c>
      <c r="N3109" t="str">
        <f>"248030301026"</f>
        <v>248030301026</v>
      </c>
      <c r="O3109" t="str">
        <f>"460033200011164705"</f>
        <v>460033200011164705</v>
      </c>
    </row>
    <row r="3110" customFormat="1" spans="1:15">
      <c r="A3110">
        <v>4151</v>
      </c>
      <c r="B3110" t="s">
        <v>3674</v>
      </c>
      <c r="C3110" t="str">
        <f>"460004199510070220"</f>
        <v>460004199510070220</v>
      </c>
      <c r="D3110" t="str">
        <f>"248030501106"</f>
        <v>248030501106</v>
      </c>
      <c r="L3110">
        <v>4151</v>
      </c>
      <c r="M3110" t="s">
        <v>3674</v>
      </c>
      <c r="N3110" t="str">
        <f>"248030501106"</f>
        <v>248030501106</v>
      </c>
      <c r="O3110" t="str">
        <f>"460004199510070220"</f>
        <v>460004199510070220</v>
      </c>
    </row>
    <row r="3111" customFormat="1" spans="1:15">
      <c r="A3111">
        <v>4152</v>
      </c>
      <c r="B3111" t="s">
        <v>3675</v>
      </c>
      <c r="C3111" t="str">
        <f>"460028199601177219"</f>
        <v>460028199601177219</v>
      </c>
      <c r="L3111">
        <v>4152</v>
      </c>
      <c r="M3111" t="s">
        <v>3675</v>
      </c>
      <c r="O3111" t="str">
        <f>"460028199601177219"</f>
        <v>460028199601177219</v>
      </c>
    </row>
    <row r="3112" customFormat="1" spans="1:15">
      <c r="A3112">
        <v>4153</v>
      </c>
      <c r="B3112" t="s">
        <v>3676</v>
      </c>
      <c r="C3112" t="str">
        <f>"460004199809143228"</f>
        <v>460004199809143228</v>
      </c>
      <c r="D3112" t="str">
        <f>"248030104614"</f>
        <v>248030104614</v>
      </c>
      <c r="L3112">
        <v>4153</v>
      </c>
      <c r="M3112" t="s">
        <v>3676</v>
      </c>
      <c r="N3112" t="str">
        <f>"248030104614"</f>
        <v>248030104614</v>
      </c>
      <c r="O3112" t="str">
        <f>"460004199809143228"</f>
        <v>460004199809143228</v>
      </c>
    </row>
    <row r="3113" customFormat="1" spans="1:15">
      <c r="A3113">
        <v>4154</v>
      </c>
      <c r="B3113" t="s">
        <v>730</v>
      </c>
      <c r="C3113" t="str">
        <f>"46010419940816092X"</f>
        <v>46010419940816092X</v>
      </c>
      <c r="D3113" t="str">
        <f>"248030403810"</f>
        <v>248030403810</v>
      </c>
      <c r="L3113">
        <v>4154</v>
      </c>
      <c r="M3113" t="s">
        <v>730</v>
      </c>
      <c r="N3113" t="str">
        <f>"248030403810"</f>
        <v>248030403810</v>
      </c>
      <c r="O3113" t="str">
        <f>"46010419940816092X"</f>
        <v>46010419940816092X</v>
      </c>
    </row>
    <row r="3114" customFormat="1" spans="1:15">
      <c r="A3114">
        <v>4155</v>
      </c>
      <c r="B3114" t="s">
        <v>3677</v>
      </c>
      <c r="C3114" t="str">
        <f>"469003199706186729"</f>
        <v>469003199706186729</v>
      </c>
      <c r="D3114" t="str">
        <f>"248030503622"</f>
        <v>248030503622</v>
      </c>
      <c r="L3114">
        <v>4155</v>
      </c>
      <c r="M3114" t="s">
        <v>3677</v>
      </c>
      <c r="N3114" t="str">
        <f>"248030503622"</f>
        <v>248030503622</v>
      </c>
      <c r="O3114" t="str">
        <f>"469003199706186729"</f>
        <v>469003199706186729</v>
      </c>
    </row>
    <row r="3115" customFormat="1" spans="1:15">
      <c r="A3115">
        <v>4156</v>
      </c>
      <c r="B3115" t="s">
        <v>3678</v>
      </c>
      <c r="C3115" t="str">
        <f>"460004199608020221"</f>
        <v>460004199608020221</v>
      </c>
      <c r="D3115" t="str">
        <f>"248030202908"</f>
        <v>248030202908</v>
      </c>
      <c r="L3115">
        <v>4156</v>
      </c>
      <c r="M3115" t="s">
        <v>3678</v>
      </c>
      <c r="N3115" t="str">
        <f>"248030202908"</f>
        <v>248030202908</v>
      </c>
      <c r="O3115" t="str">
        <f>"460004199608020221"</f>
        <v>460004199608020221</v>
      </c>
    </row>
    <row r="3116" customFormat="1" spans="1:15">
      <c r="A3116">
        <v>4157</v>
      </c>
      <c r="B3116" t="s">
        <v>3679</v>
      </c>
      <c r="C3116" t="str">
        <f>"460004199407083023"</f>
        <v>460004199407083023</v>
      </c>
      <c r="D3116" t="str">
        <f>"248030501403"</f>
        <v>248030501403</v>
      </c>
      <c r="L3116">
        <v>4157</v>
      </c>
      <c r="M3116" t="s">
        <v>3679</v>
      </c>
      <c r="N3116" t="str">
        <f>"248030501403"</f>
        <v>248030501403</v>
      </c>
      <c r="O3116" t="str">
        <f>"460004199407083023"</f>
        <v>460004199407083023</v>
      </c>
    </row>
    <row r="3117" customFormat="1" spans="1:15">
      <c r="A3117">
        <v>4158</v>
      </c>
      <c r="B3117" t="s">
        <v>3680</v>
      </c>
      <c r="C3117" t="str">
        <f>"460004199401123426"</f>
        <v>460004199401123426</v>
      </c>
      <c r="L3117">
        <v>4158</v>
      </c>
      <c r="M3117" t="s">
        <v>3680</v>
      </c>
      <c r="O3117" t="str">
        <f>"460004199401123426"</f>
        <v>460004199401123426</v>
      </c>
    </row>
    <row r="3118" customFormat="1" spans="1:15">
      <c r="A3118">
        <v>4160</v>
      </c>
      <c r="B3118" t="s">
        <v>3681</v>
      </c>
      <c r="C3118" t="str">
        <f>"440825200208285009"</f>
        <v>440825200208285009</v>
      </c>
      <c r="D3118" t="str">
        <f>"248030103108"</f>
        <v>248030103108</v>
      </c>
      <c r="L3118">
        <v>4160</v>
      </c>
      <c r="M3118" t="s">
        <v>3681</v>
      </c>
      <c r="N3118" t="str">
        <f>"248030103108"</f>
        <v>248030103108</v>
      </c>
      <c r="O3118" t="str">
        <f>"440825200208285009"</f>
        <v>440825200208285009</v>
      </c>
    </row>
    <row r="3119" customFormat="1" spans="1:15">
      <c r="A3119">
        <v>4161</v>
      </c>
      <c r="B3119" t="s">
        <v>3682</v>
      </c>
      <c r="C3119" t="str">
        <f>"460006199907180623"</f>
        <v>460006199907180623</v>
      </c>
      <c r="D3119" t="str">
        <f>"248030200627"</f>
        <v>248030200627</v>
      </c>
      <c r="L3119">
        <v>4161</v>
      </c>
      <c r="M3119" t="s">
        <v>3682</v>
      </c>
      <c r="N3119" t="str">
        <f>"248030200627"</f>
        <v>248030200627</v>
      </c>
      <c r="O3119" t="str">
        <f>"460006199907180623"</f>
        <v>460006199907180623</v>
      </c>
    </row>
    <row r="3120" customFormat="1" spans="1:15">
      <c r="A3120">
        <v>4162</v>
      </c>
      <c r="B3120" t="s">
        <v>3683</v>
      </c>
      <c r="C3120" t="str">
        <f>"460033199612013886"</f>
        <v>460033199612013886</v>
      </c>
      <c r="D3120" t="str">
        <f>"248030502828"</f>
        <v>248030502828</v>
      </c>
      <c r="L3120">
        <v>4162</v>
      </c>
      <c r="M3120" t="s">
        <v>3683</v>
      </c>
      <c r="N3120" t="str">
        <f>"248030502828"</f>
        <v>248030502828</v>
      </c>
      <c r="O3120" t="str">
        <f>"460033199612013886"</f>
        <v>460033199612013886</v>
      </c>
    </row>
    <row r="3121" customFormat="1" spans="1:15">
      <c r="A3121">
        <v>4163</v>
      </c>
      <c r="B3121" t="s">
        <v>3684</v>
      </c>
      <c r="C3121" t="str">
        <f>"460004200007124426"</f>
        <v>460004200007124426</v>
      </c>
      <c r="D3121" t="str">
        <f>"248030402917"</f>
        <v>248030402917</v>
      </c>
      <c r="L3121">
        <v>4163</v>
      </c>
      <c r="M3121" t="s">
        <v>3684</v>
      </c>
      <c r="N3121" t="str">
        <f>"248030402917"</f>
        <v>248030402917</v>
      </c>
      <c r="O3121" t="str">
        <f>"460004200007124426"</f>
        <v>460004200007124426</v>
      </c>
    </row>
    <row r="3122" customFormat="1" spans="1:15">
      <c r="A3122">
        <v>4164</v>
      </c>
      <c r="B3122" t="s">
        <v>621</v>
      </c>
      <c r="C3122" t="str">
        <f>"460030200010116921"</f>
        <v>460030200010116921</v>
      </c>
      <c r="D3122" t="str">
        <f>"248030104202"</f>
        <v>248030104202</v>
      </c>
      <c r="L3122">
        <v>4164</v>
      </c>
      <c r="M3122" t="s">
        <v>621</v>
      </c>
      <c r="N3122" t="str">
        <f>"248030104202"</f>
        <v>248030104202</v>
      </c>
      <c r="O3122" t="str">
        <f>"460030200010116921"</f>
        <v>460030200010116921</v>
      </c>
    </row>
    <row r="3123" customFormat="1" spans="1:15">
      <c r="A3123">
        <v>4166</v>
      </c>
      <c r="B3123" t="s">
        <v>3685</v>
      </c>
      <c r="C3123" t="str">
        <f>"460026199909202721"</f>
        <v>460026199909202721</v>
      </c>
      <c r="D3123" t="str">
        <f>"248030402504"</f>
        <v>248030402504</v>
      </c>
      <c r="L3123">
        <v>4166</v>
      </c>
      <c r="M3123" t="s">
        <v>3685</v>
      </c>
      <c r="N3123" t="str">
        <f>"248030402504"</f>
        <v>248030402504</v>
      </c>
      <c r="O3123" t="str">
        <f>"460026199909202721"</f>
        <v>460026199909202721</v>
      </c>
    </row>
    <row r="3124" customFormat="1" spans="1:15">
      <c r="A3124">
        <v>4168</v>
      </c>
      <c r="B3124" t="s">
        <v>3686</v>
      </c>
      <c r="C3124" t="str">
        <f>"460003199808105629"</f>
        <v>460003199808105629</v>
      </c>
      <c r="D3124" t="str">
        <f>"248030401425"</f>
        <v>248030401425</v>
      </c>
      <c r="L3124">
        <v>4168</v>
      </c>
      <c r="M3124" t="s">
        <v>3686</v>
      </c>
      <c r="N3124" t="str">
        <f>"248030401425"</f>
        <v>248030401425</v>
      </c>
      <c r="O3124" t="str">
        <f>"460003199808105629"</f>
        <v>460003199808105629</v>
      </c>
    </row>
    <row r="3125" customFormat="1" spans="1:15">
      <c r="A3125">
        <v>4169</v>
      </c>
      <c r="B3125" t="s">
        <v>3687</v>
      </c>
      <c r="C3125" t="str">
        <f>"460003199810053047"</f>
        <v>460003199810053047</v>
      </c>
      <c r="D3125" t="str">
        <f>"248030400401"</f>
        <v>248030400401</v>
      </c>
      <c r="L3125">
        <v>4169</v>
      </c>
      <c r="M3125" t="s">
        <v>3687</v>
      </c>
      <c r="N3125" t="str">
        <f>"248030400401"</f>
        <v>248030400401</v>
      </c>
      <c r="O3125" t="str">
        <f>"460003199810053047"</f>
        <v>460003199810053047</v>
      </c>
    </row>
    <row r="3126" customFormat="1" spans="1:15">
      <c r="A3126">
        <v>4170</v>
      </c>
      <c r="B3126" t="s">
        <v>3688</v>
      </c>
      <c r="C3126" t="str">
        <f>"460004199801120427"</f>
        <v>460004199801120427</v>
      </c>
      <c r="D3126" t="str">
        <f>"248030100728"</f>
        <v>248030100728</v>
      </c>
      <c r="L3126">
        <v>4170</v>
      </c>
      <c r="M3126" t="s">
        <v>3688</v>
      </c>
      <c r="N3126" t="str">
        <f>"248030100728"</f>
        <v>248030100728</v>
      </c>
      <c r="O3126" t="str">
        <f>"460004199801120427"</f>
        <v>460004199801120427</v>
      </c>
    </row>
    <row r="3127" customFormat="1" spans="1:15">
      <c r="A3127">
        <v>4171</v>
      </c>
      <c r="B3127" t="s">
        <v>3689</v>
      </c>
      <c r="C3127" t="str">
        <f>"410901199907314028"</f>
        <v>410901199907314028</v>
      </c>
      <c r="D3127" t="str">
        <f>"248030202225"</f>
        <v>248030202225</v>
      </c>
      <c r="L3127">
        <v>4171</v>
      </c>
      <c r="M3127" t="s">
        <v>3689</v>
      </c>
      <c r="N3127" t="str">
        <f>"248030202225"</f>
        <v>248030202225</v>
      </c>
      <c r="O3127" t="str">
        <f>"410901199907314028"</f>
        <v>410901199907314028</v>
      </c>
    </row>
    <row r="3128" customFormat="1" spans="1:15">
      <c r="A3128">
        <v>4172</v>
      </c>
      <c r="B3128" t="s">
        <v>3690</v>
      </c>
      <c r="C3128" t="str">
        <f>"52232119980122223X"</f>
        <v>52232119980122223X</v>
      </c>
      <c r="L3128">
        <v>4172</v>
      </c>
      <c r="M3128" t="s">
        <v>3690</v>
      </c>
      <c r="O3128" t="str">
        <f>"52232119980122223X"</f>
        <v>52232119980122223X</v>
      </c>
    </row>
    <row r="3129" customFormat="1" spans="1:15">
      <c r="A3129">
        <v>4173</v>
      </c>
      <c r="B3129" t="s">
        <v>3691</v>
      </c>
      <c r="C3129" t="str">
        <f>"46000619981221814X"</f>
        <v>46000619981221814X</v>
      </c>
      <c r="D3129" t="str">
        <f>"248030402409"</f>
        <v>248030402409</v>
      </c>
      <c r="L3129">
        <v>4173</v>
      </c>
      <c r="M3129" t="s">
        <v>3691</v>
      </c>
      <c r="N3129" t="str">
        <f>"248030402409"</f>
        <v>248030402409</v>
      </c>
      <c r="O3129" t="str">
        <f>"46000619981221814X"</f>
        <v>46000619981221814X</v>
      </c>
    </row>
    <row r="3130" customFormat="1" spans="1:15">
      <c r="A3130">
        <v>4174</v>
      </c>
      <c r="B3130" t="s">
        <v>3692</v>
      </c>
      <c r="C3130" t="str">
        <f>"460004200007160427"</f>
        <v>460004200007160427</v>
      </c>
      <c r="D3130" t="str">
        <f>"248030203614"</f>
        <v>248030203614</v>
      </c>
      <c r="L3130">
        <v>4174</v>
      </c>
      <c r="M3130" t="s">
        <v>3692</v>
      </c>
      <c r="N3130" t="str">
        <f>"248030203614"</f>
        <v>248030203614</v>
      </c>
      <c r="O3130" t="str">
        <f>"460004200007160427"</f>
        <v>460004200007160427</v>
      </c>
    </row>
    <row r="3131" customFormat="1" spans="1:15">
      <c r="A3131">
        <v>4175</v>
      </c>
      <c r="B3131" t="s">
        <v>3693</v>
      </c>
      <c r="C3131" t="str">
        <f>"441622200011180028"</f>
        <v>441622200011180028</v>
      </c>
      <c r="D3131" t="str">
        <f>"248030503125"</f>
        <v>248030503125</v>
      </c>
      <c r="L3131">
        <v>4175</v>
      </c>
      <c r="M3131" t="s">
        <v>3693</v>
      </c>
      <c r="N3131" t="str">
        <f>"248030503125"</f>
        <v>248030503125</v>
      </c>
      <c r="O3131" t="str">
        <f>"441622200011180028"</f>
        <v>441622200011180028</v>
      </c>
    </row>
    <row r="3132" customFormat="1" spans="1:15">
      <c r="A3132">
        <v>4176</v>
      </c>
      <c r="B3132" t="s">
        <v>3694</v>
      </c>
      <c r="C3132" t="str">
        <f>"460033200208203587"</f>
        <v>460033200208203587</v>
      </c>
      <c r="D3132" t="str">
        <f>"248030502720"</f>
        <v>248030502720</v>
      </c>
      <c r="L3132">
        <v>4176</v>
      </c>
      <c r="M3132" t="s">
        <v>3694</v>
      </c>
      <c r="N3132" t="str">
        <f>"248030502720"</f>
        <v>248030502720</v>
      </c>
      <c r="O3132" t="str">
        <f>"460033200208203587"</f>
        <v>460033200208203587</v>
      </c>
    </row>
    <row r="3133" customFormat="1" spans="1:15">
      <c r="A3133">
        <v>4177</v>
      </c>
      <c r="B3133" t="s">
        <v>3695</v>
      </c>
      <c r="C3133" t="str">
        <f>"460003199707177703"</f>
        <v>460003199707177703</v>
      </c>
      <c r="D3133" t="str">
        <f>"248030104009"</f>
        <v>248030104009</v>
      </c>
      <c r="L3133">
        <v>4177</v>
      </c>
      <c r="M3133" t="s">
        <v>3695</v>
      </c>
      <c r="N3133" t="str">
        <f>"248030104009"</f>
        <v>248030104009</v>
      </c>
      <c r="O3133" t="str">
        <f>"460003199707177703"</f>
        <v>460003199707177703</v>
      </c>
    </row>
    <row r="3134" customFormat="1" spans="1:15">
      <c r="A3134">
        <v>4178</v>
      </c>
      <c r="B3134" t="s">
        <v>3696</v>
      </c>
      <c r="C3134" t="str">
        <f>"460034199907070921"</f>
        <v>460034199907070921</v>
      </c>
      <c r="L3134">
        <v>4178</v>
      </c>
      <c r="M3134" t="s">
        <v>3696</v>
      </c>
      <c r="O3134" t="str">
        <f>"460034199907070921"</f>
        <v>460034199907070921</v>
      </c>
    </row>
    <row r="3135" customFormat="1" spans="1:15">
      <c r="A3135">
        <v>4179</v>
      </c>
      <c r="B3135" t="s">
        <v>3697</v>
      </c>
      <c r="C3135" t="str">
        <f>"360722200103041230"</f>
        <v>360722200103041230</v>
      </c>
      <c r="D3135" t="str">
        <f>"248030201829"</f>
        <v>248030201829</v>
      </c>
      <c r="L3135">
        <v>4179</v>
      </c>
      <c r="M3135" t="s">
        <v>3697</v>
      </c>
      <c r="N3135" t="str">
        <f>"248030201829"</f>
        <v>248030201829</v>
      </c>
      <c r="O3135" t="str">
        <f>"360722200103041230"</f>
        <v>360722200103041230</v>
      </c>
    </row>
    <row r="3136" customFormat="1" spans="1:15">
      <c r="A3136">
        <v>4181</v>
      </c>
      <c r="B3136" t="s">
        <v>3698</v>
      </c>
      <c r="C3136" t="str">
        <f>"469003200212136129"</f>
        <v>469003200212136129</v>
      </c>
      <c r="D3136" t="str">
        <f>"248030503407"</f>
        <v>248030503407</v>
      </c>
      <c r="L3136">
        <v>4181</v>
      </c>
      <c r="M3136" t="s">
        <v>3698</v>
      </c>
      <c r="N3136" t="str">
        <f>"248030503407"</f>
        <v>248030503407</v>
      </c>
      <c r="O3136" t="str">
        <f>"469003200212136129"</f>
        <v>469003200212136129</v>
      </c>
    </row>
    <row r="3137" customFormat="1" spans="1:15">
      <c r="A3137">
        <v>4182</v>
      </c>
      <c r="B3137" t="s">
        <v>3699</v>
      </c>
      <c r="C3137" t="str">
        <f>"460005199902030013"</f>
        <v>460005199902030013</v>
      </c>
      <c r="D3137" t="str">
        <f>"248030201107"</f>
        <v>248030201107</v>
      </c>
      <c r="L3137">
        <v>4182</v>
      </c>
      <c r="M3137" t="s">
        <v>3699</v>
      </c>
      <c r="N3137" t="str">
        <f>"248030201107"</f>
        <v>248030201107</v>
      </c>
      <c r="O3137" t="str">
        <f>"460005199902030013"</f>
        <v>460005199902030013</v>
      </c>
    </row>
    <row r="3138" customFormat="1" spans="1:15">
      <c r="A3138">
        <v>4183</v>
      </c>
      <c r="B3138" t="s">
        <v>3700</v>
      </c>
      <c r="C3138" t="str">
        <f>"460102199803010021"</f>
        <v>460102199803010021</v>
      </c>
      <c r="D3138" t="str">
        <f>"248030400211"</f>
        <v>248030400211</v>
      </c>
      <c r="L3138">
        <v>4183</v>
      </c>
      <c r="M3138" t="s">
        <v>3700</v>
      </c>
      <c r="N3138" t="str">
        <f>"248030400211"</f>
        <v>248030400211</v>
      </c>
      <c r="O3138" t="str">
        <f>"460102199803010021"</f>
        <v>460102199803010021</v>
      </c>
    </row>
    <row r="3139" customFormat="1" spans="1:15">
      <c r="A3139">
        <v>4184</v>
      </c>
      <c r="B3139" t="s">
        <v>668</v>
      </c>
      <c r="C3139" t="str">
        <f>"460004200201135428"</f>
        <v>460004200201135428</v>
      </c>
      <c r="D3139" t="str">
        <f>"248030103030"</f>
        <v>248030103030</v>
      </c>
      <c r="L3139">
        <v>4184</v>
      </c>
      <c r="M3139" t="s">
        <v>668</v>
      </c>
      <c r="N3139" t="str">
        <f>"248030103030"</f>
        <v>248030103030</v>
      </c>
      <c r="O3139" t="str">
        <f>"460004200201135428"</f>
        <v>460004200201135428</v>
      </c>
    </row>
    <row r="3140" customFormat="1" spans="1:15">
      <c r="A3140">
        <v>4185</v>
      </c>
      <c r="B3140" t="s">
        <v>3701</v>
      </c>
      <c r="C3140" t="str">
        <f>"460006199204070620"</f>
        <v>460006199204070620</v>
      </c>
      <c r="L3140">
        <v>4185</v>
      </c>
      <c r="M3140" t="s">
        <v>3701</v>
      </c>
      <c r="O3140" t="str">
        <f>"460006199204070620"</f>
        <v>460006199204070620</v>
      </c>
    </row>
    <row r="3141" customFormat="1" spans="1:15">
      <c r="A3141">
        <v>4186</v>
      </c>
      <c r="B3141" t="s">
        <v>3702</v>
      </c>
      <c r="C3141" t="str">
        <f>"469023200312265628"</f>
        <v>469023200312265628</v>
      </c>
      <c r="L3141">
        <v>4186</v>
      </c>
      <c r="M3141" t="s">
        <v>3702</v>
      </c>
      <c r="O3141" t="str">
        <f>"469023200312265628"</f>
        <v>469023200312265628</v>
      </c>
    </row>
    <row r="3142" customFormat="1" spans="1:15">
      <c r="A3142">
        <v>4187</v>
      </c>
      <c r="B3142" t="s">
        <v>1205</v>
      </c>
      <c r="C3142" t="str">
        <f>"460103199506182720"</f>
        <v>460103199506182720</v>
      </c>
      <c r="D3142" t="str">
        <f>"248030502607"</f>
        <v>248030502607</v>
      </c>
      <c r="L3142">
        <v>4187</v>
      </c>
      <c r="M3142" t="s">
        <v>1205</v>
      </c>
      <c r="N3142" t="str">
        <f>"248030502607"</f>
        <v>248030502607</v>
      </c>
      <c r="O3142" t="str">
        <f>"460103199506182720"</f>
        <v>460103199506182720</v>
      </c>
    </row>
    <row r="3143" customFormat="1" spans="1:15">
      <c r="A3143">
        <v>4188</v>
      </c>
      <c r="B3143" t="s">
        <v>3703</v>
      </c>
      <c r="C3143" t="str">
        <f>"460033199808120683"</f>
        <v>460033199808120683</v>
      </c>
      <c r="D3143" t="str">
        <f>"248030402101"</f>
        <v>248030402101</v>
      </c>
      <c r="L3143">
        <v>4188</v>
      </c>
      <c r="M3143" t="s">
        <v>3703</v>
      </c>
      <c r="N3143" t="str">
        <f>"248030402101"</f>
        <v>248030402101</v>
      </c>
      <c r="O3143" t="str">
        <f>"460033199808120683"</f>
        <v>460033199808120683</v>
      </c>
    </row>
    <row r="3144" customFormat="1" spans="1:15">
      <c r="A3144">
        <v>4189</v>
      </c>
      <c r="B3144" t="s">
        <v>3704</v>
      </c>
      <c r="C3144" t="str">
        <f>"469023200107133722"</f>
        <v>469023200107133722</v>
      </c>
      <c r="D3144" t="str">
        <f>"248030403809"</f>
        <v>248030403809</v>
      </c>
      <c r="L3144">
        <v>4189</v>
      </c>
      <c r="M3144" t="s">
        <v>3704</v>
      </c>
      <c r="N3144" t="str">
        <f>"248030403809"</f>
        <v>248030403809</v>
      </c>
      <c r="O3144" t="str">
        <f>"469023200107133722"</f>
        <v>469023200107133722</v>
      </c>
    </row>
    <row r="3145" customFormat="1" spans="1:15">
      <c r="A3145">
        <v>4190</v>
      </c>
      <c r="B3145" t="s">
        <v>3705</v>
      </c>
      <c r="C3145" t="str">
        <f>"460028199809010442"</f>
        <v>460028199809010442</v>
      </c>
      <c r="D3145" t="str">
        <f>"248030104101"</f>
        <v>248030104101</v>
      </c>
      <c r="L3145">
        <v>4190</v>
      </c>
      <c r="M3145" t="s">
        <v>3705</v>
      </c>
      <c r="N3145" t="str">
        <f>"248030104101"</f>
        <v>248030104101</v>
      </c>
      <c r="O3145" t="str">
        <f>"460028199809010442"</f>
        <v>460028199809010442</v>
      </c>
    </row>
    <row r="3146" customFormat="1" spans="1:15">
      <c r="A3146">
        <v>4191</v>
      </c>
      <c r="B3146" t="s">
        <v>3706</v>
      </c>
      <c r="C3146" t="str">
        <f>"469027199503217506"</f>
        <v>469027199503217506</v>
      </c>
      <c r="D3146" t="str">
        <f>"248030101411"</f>
        <v>248030101411</v>
      </c>
      <c r="L3146">
        <v>4191</v>
      </c>
      <c r="M3146" t="s">
        <v>3706</v>
      </c>
      <c r="N3146" t="str">
        <f>"248030101411"</f>
        <v>248030101411</v>
      </c>
      <c r="O3146" t="str">
        <f>"469027199503217506"</f>
        <v>469027199503217506</v>
      </c>
    </row>
    <row r="3147" customFormat="1" spans="1:15">
      <c r="A3147">
        <v>4192</v>
      </c>
      <c r="B3147" t="s">
        <v>3707</v>
      </c>
      <c r="C3147" t="str">
        <f>"46900319951107644X"</f>
        <v>46900319951107644X</v>
      </c>
      <c r="D3147" t="str">
        <f>"248030500814"</f>
        <v>248030500814</v>
      </c>
      <c r="L3147">
        <v>4192</v>
      </c>
      <c r="M3147" t="s">
        <v>3707</v>
      </c>
      <c r="N3147" t="str">
        <f>"248030500814"</f>
        <v>248030500814</v>
      </c>
      <c r="O3147" t="str">
        <f>"46900319951107644X"</f>
        <v>46900319951107644X</v>
      </c>
    </row>
    <row r="3148" customFormat="1" spans="1:15">
      <c r="A3148">
        <v>4193</v>
      </c>
      <c r="B3148" t="s">
        <v>3708</v>
      </c>
      <c r="C3148" t="str">
        <f>"469027200208243264"</f>
        <v>469027200208243264</v>
      </c>
      <c r="L3148">
        <v>4193</v>
      </c>
      <c r="M3148" t="s">
        <v>3708</v>
      </c>
      <c r="O3148" t="str">
        <f>"469027200208243264"</f>
        <v>469027200208243264</v>
      </c>
    </row>
    <row r="3149" customFormat="1" spans="1:15">
      <c r="A3149">
        <v>4194</v>
      </c>
      <c r="B3149" t="s">
        <v>3709</v>
      </c>
      <c r="C3149" t="str">
        <f>"440222200109032223"</f>
        <v>440222200109032223</v>
      </c>
      <c r="D3149" t="str">
        <f>"248030400819"</f>
        <v>248030400819</v>
      </c>
      <c r="L3149">
        <v>4194</v>
      </c>
      <c r="M3149" t="s">
        <v>3709</v>
      </c>
      <c r="N3149" t="str">
        <f>"248030400819"</f>
        <v>248030400819</v>
      </c>
      <c r="O3149" t="str">
        <f>"440222200109032223"</f>
        <v>440222200109032223</v>
      </c>
    </row>
    <row r="3150" customFormat="1" spans="1:15">
      <c r="A3150">
        <v>4195</v>
      </c>
      <c r="B3150" t="s">
        <v>3710</v>
      </c>
      <c r="C3150" t="str">
        <f>"460007199212015820"</f>
        <v>460007199212015820</v>
      </c>
      <c r="D3150" t="str">
        <f>"248030500510"</f>
        <v>248030500510</v>
      </c>
      <c r="L3150">
        <v>4195</v>
      </c>
      <c r="M3150" t="s">
        <v>3710</v>
      </c>
      <c r="N3150" t="str">
        <f>"248030500510"</f>
        <v>248030500510</v>
      </c>
      <c r="O3150" t="str">
        <f>"460007199212015820"</f>
        <v>460007199212015820</v>
      </c>
    </row>
    <row r="3151" customFormat="1" spans="1:15">
      <c r="A3151">
        <v>4196</v>
      </c>
      <c r="B3151" t="s">
        <v>3711</v>
      </c>
      <c r="C3151" t="str">
        <f>"211022199904102923"</f>
        <v>211022199904102923</v>
      </c>
      <c r="L3151">
        <v>4196</v>
      </c>
      <c r="M3151" t="s">
        <v>3711</v>
      </c>
      <c r="O3151" t="str">
        <f>"211022199904102923"</f>
        <v>211022199904102923</v>
      </c>
    </row>
    <row r="3152" customFormat="1" spans="1:15">
      <c r="A3152">
        <v>4197</v>
      </c>
      <c r="B3152" t="s">
        <v>3712</v>
      </c>
      <c r="C3152" t="str">
        <f>"612422199607230520"</f>
        <v>612422199607230520</v>
      </c>
      <c r="L3152">
        <v>4197</v>
      </c>
      <c r="M3152" t="s">
        <v>3712</v>
      </c>
      <c r="O3152" t="str">
        <f>"612422199607230520"</f>
        <v>612422199607230520</v>
      </c>
    </row>
    <row r="3153" customFormat="1" spans="1:15">
      <c r="A3153">
        <v>4198</v>
      </c>
      <c r="B3153" t="s">
        <v>3713</v>
      </c>
      <c r="C3153" t="str">
        <f>"341221199409093920"</f>
        <v>341221199409093920</v>
      </c>
      <c r="D3153" t="str">
        <f>"248030201008"</f>
        <v>248030201008</v>
      </c>
      <c r="L3153">
        <v>4198</v>
      </c>
      <c r="M3153" t="s">
        <v>3713</v>
      </c>
      <c r="N3153" t="str">
        <f>"248030201008"</f>
        <v>248030201008</v>
      </c>
      <c r="O3153" t="str">
        <f>"341221199409093920"</f>
        <v>341221199409093920</v>
      </c>
    </row>
    <row r="3154" customFormat="1" spans="1:15">
      <c r="A3154">
        <v>4199</v>
      </c>
      <c r="B3154" t="s">
        <v>3714</v>
      </c>
      <c r="C3154" t="str">
        <f>"460025199403090922"</f>
        <v>460025199403090922</v>
      </c>
      <c r="D3154" t="str">
        <f>"248030402216"</f>
        <v>248030402216</v>
      </c>
      <c r="L3154">
        <v>4199</v>
      </c>
      <c r="M3154" t="s">
        <v>3714</v>
      </c>
      <c r="N3154" t="str">
        <f>"248030402216"</f>
        <v>248030402216</v>
      </c>
      <c r="O3154" t="str">
        <f>"460025199403090922"</f>
        <v>460025199403090922</v>
      </c>
    </row>
    <row r="3155" customFormat="1" spans="1:15">
      <c r="A3155">
        <v>4200</v>
      </c>
      <c r="B3155" t="s">
        <v>3715</v>
      </c>
      <c r="C3155" t="str">
        <f>"421022199304083043"</f>
        <v>421022199304083043</v>
      </c>
      <c r="L3155">
        <v>4200</v>
      </c>
      <c r="M3155" t="s">
        <v>3715</v>
      </c>
      <c r="O3155" t="str">
        <f>"421022199304083043"</f>
        <v>421022199304083043</v>
      </c>
    </row>
    <row r="3156" customFormat="1" spans="1:15">
      <c r="A3156">
        <v>4201</v>
      </c>
      <c r="B3156" t="s">
        <v>3716</v>
      </c>
      <c r="C3156" t="str">
        <f>"460005199910281912"</f>
        <v>460005199910281912</v>
      </c>
      <c r="D3156" t="str">
        <f>"248030400909"</f>
        <v>248030400909</v>
      </c>
      <c r="L3156">
        <v>4201</v>
      </c>
      <c r="M3156" t="s">
        <v>3716</v>
      </c>
      <c r="N3156" t="str">
        <f>"248030400909"</f>
        <v>248030400909</v>
      </c>
      <c r="O3156" t="str">
        <f>"460005199910281912"</f>
        <v>460005199910281912</v>
      </c>
    </row>
    <row r="3157" customFormat="1" spans="1:15">
      <c r="A3157">
        <v>4202</v>
      </c>
      <c r="B3157" t="s">
        <v>3717</v>
      </c>
      <c r="C3157" t="str">
        <f>"460027199309103718"</f>
        <v>460027199309103718</v>
      </c>
      <c r="L3157">
        <v>4202</v>
      </c>
      <c r="M3157" t="s">
        <v>3717</v>
      </c>
      <c r="O3157" t="str">
        <f>"460027199309103718"</f>
        <v>460027199309103718</v>
      </c>
    </row>
    <row r="3158" customFormat="1" spans="1:15">
      <c r="A3158">
        <v>4203</v>
      </c>
      <c r="B3158" t="s">
        <v>3718</v>
      </c>
      <c r="C3158" t="str">
        <f>"460007199910077623"</f>
        <v>460007199910077623</v>
      </c>
      <c r="D3158" t="str">
        <f>"248030103329"</f>
        <v>248030103329</v>
      </c>
      <c r="L3158">
        <v>4203</v>
      </c>
      <c r="M3158" t="s">
        <v>3718</v>
      </c>
      <c r="N3158" t="str">
        <f>"248030103329"</f>
        <v>248030103329</v>
      </c>
      <c r="O3158" t="str">
        <f>"460007199910077623"</f>
        <v>460007199910077623</v>
      </c>
    </row>
    <row r="3159" customFormat="1" spans="1:15">
      <c r="A3159">
        <v>4204</v>
      </c>
      <c r="B3159" t="s">
        <v>3719</v>
      </c>
      <c r="C3159" t="str">
        <f>"460006200002061633"</f>
        <v>460006200002061633</v>
      </c>
      <c r="D3159" t="str">
        <f>"248030200218"</f>
        <v>248030200218</v>
      </c>
      <c r="L3159">
        <v>4204</v>
      </c>
      <c r="M3159" t="s">
        <v>3719</v>
      </c>
      <c r="N3159" t="str">
        <f>"248030200218"</f>
        <v>248030200218</v>
      </c>
      <c r="O3159" t="str">
        <f>"460006200002061633"</f>
        <v>460006200002061633</v>
      </c>
    </row>
    <row r="3160" customFormat="1" spans="1:15">
      <c r="A3160">
        <v>4205</v>
      </c>
      <c r="B3160" t="s">
        <v>3720</v>
      </c>
      <c r="C3160" t="str">
        <f>"460106200210283447"</f>
        <v>460106200210283447</v>
      </c>
      <c r="D3160" t="str">
        <f>"248030502905"</f>
        <v>248030502905</v>
      </c>
      <c r="L3160">
        <v>4205</v>
      </c>
      <c r="M3160" t="s">
        <v>3720</v>
      </c>
      <c r="N3160" t="str">
        <f>"248030502905"</f>
        <v>248030502905</v>
      </c>
      <c r="O3160" t="str">
        <f>"460106200210283447"</f>
        <v>460106200210283447</v>
      </c>
    </row>
    <row r="3161" customFormat="1" spans="1:15">
      <c r="A3161">
        <v>4207</v>
      </c>
      <c r="B3161" t="s">
        <v>3721</v>
      </c>
      <c r="C3161" t="str">
        <f>"522530199706090029"</f>
        <v>522530199706090029</v>
      </c>
      <c r="D3161" t="str">
        <f>"248030200713"</f>
        <v>248030200713</v>
      </c>
      <c r="L3161">
        <v>4207</v>
      </c>
      <c r="M3161" t="s">
        <v>3721</v>
      </c>
      <c r="N3161" t="str">
        <f>"248030200713"</f>
        <v>248030200713</v>
      </c>
      <c r="O3161" t="str">
        <f>"522530199706090029"</f>
        <v>522530199706090029</v>
      </c>
    </row>
    <row r="3162" customFormat="1" spans="1:15">
      <c r="A3162">
        <v>4208</v>
      </c>
      <c r="B3162" t="s">
        <v>1873</v>
      </c>
      <c r="C3162" t="str">
        <f>"522423199704091221"</f>
        <v>522423199704091221</v>
      </c>
      <c r="D3162" t="str">
        <f>"248030202730"</f>
        <v>248030202730</v>
      </c>
      <c r="L3162">
        <v>4208</v>
      </c>
      <c r="M3162" t="s">
        <v>1873</v>
      </c>
      <c r="N3162" t="str">
        <f>"248030202730"</f>
        <v>248030202730</v>
      </c>
      <c r="O3162" t="str">
        <f>"522423199704091221"</f>
        <v>522423199704091221</v>
      </c>
    </row>
    <row r="3163" customFormat="1" spans="1:15">
      <c r="A3163">
        <v>4209</v>
      </c>
      <c r="B3163" t="s">
        <v>3722</v>
      </c>
      <c r="C3163" t="str">
        <f>"460007199804070022"</f>
        <v>460007199804070022</v>
      </c>
      <c r="L3163">
        <v>4209</v>
      </c>
      <c r="M3163" t="s">
        <v>3722</v>
      </c>
      <c r="O3163" t="str">
        <f>"460007199804070022"</f>
        <v>460007199804070022</v>
      </c>
    </row>
    <row r="3164" customFormat="1" spans="1:15">
      <c r="A3164">
        <v>4210</v>
      </c>
      <c r="B3164" t="s">
        <v>3723</v>
      </c>
      <c r="C3164" t="str">
        <f>"460033200209303889"</f>
        <v>460033200209303889</v>
      </c>
      <c r="D3164" t="str">
        <f>"248030102311"</f>
        <v>248030102311</v>
      </c>
      <c r="L3164">
        <v>4210</v>
      </c>
      <c r="M3164" t="s">
        <v>3723</v>
      </c>
      <c r="N3164" t="str">
        <f>"248030102311"</f>
        <v>248030102311</v>
      </c>
      <c r="O3164" t="str">
        <f>"460033200209303889"</f>
        <v>460033200209303889</v>
      </c>
    </row>
    <row r="3165" customFormat="1" spans="1:15">
      <c r="A3165">
        <v>4211</v>
      </c>
      <c r="B3165" t="s">
        <v>3724</v>
      </c>
      <c r="C3165" t="str">
        <f>"460103198906090927"</f>
        <v>460103198906090927</v>
      </c>
      <c r="D3165" t="str">
        <f>"248030501414"</f>
        <v>248030501414</v>
      </c>
      <c r="L3165">
        <v>4211</v>
      </c>
      <c r="M3165" t="s">
        <v>3724</v>
      </c>
      <c r="N3165" t="str">
        <f>"248030501414"</f>
        <v>248030501414</v>
      </c>
      <c r="O3165" t="str">
        <f>"460103198906090927"</f>
        <v>460103198906090927</v>
      </c>
    </row>
    <row r="3166" customFormat="1" spans="1:15">
      <c r="A3166">
        <v>4213</v>
      </c>
      <c r="B3166" t="s">
        <v>3725</v>
      </c>
      <c r="C3166" t="str">
        <f>"460004200206184026"</f>
        <v>460004200206184026</v>
      </c>
      <c r="D3166" t="str">
        <f>"248030102813"</f>
        <v>248030102813</v>
      </c>
      <c r="L3166">
        <v>4213</v>
      </c>
      <c r="M3166" t="s">
        <v>3725</v>
      </c>
      <c r="N3166" t="str">
        <f>"248030102813"</f>
        <v>248030102813</v>
      </c>
      <c r="O3166" t="str">
        <f>"460004200206184026"</f>
        <v>460004200206184026</v>
      </c>
    </row>
    <row r="3167" customFormat="1" spans="1:15">
      <c r="A3167">
        <v>4215</v>
      </c>
      <c r="B3167" t="s">
        <v>3726</v>
      </c>
      <c r="C3167" t="str">
        <f>"469026199803185626"</f>
        <v>469026199803185626</v>
      </c>
      <c r="D3167" t="str">
        <f>"248030103223"</f>
        <v>248030103223</v>
      </c>
      <c r="L3167">
        <v>4215</v>
      </c>
      <c r="M3167" t="s">
        <v>3726</v>
      </c>
      <c r="N3167" t="str">
        <f>"248030103223"</f>
        <v>248030103223</v>
      </c>
      <c r="O3167" t="str">
        <f>"469026199803185626"</f>
        <v>469026199803185626</v>
      </c>
    </row>
    <row r="3168" customFormat="1" spans="1:15">
      <c r="A3168">
        <v>4216</v>
      </c>
      <c r="B3168" t="s">
        <v>753</v>
      </c>
      <c r="C3168" t="str">
        <f>"46002719960308532X"</f>
        <v>46002719960308532X</v>
      </c>
      <c r="D3168" t="str">
        <f>"248030400528"</f>
        <v>248030400528</v>
      </c>
      <c r="L3168">
        <v>4216</v>
      </c>
      <c r="M3168" t="s">
        <v>753</v>
      </c>
      <c r="N3168" t="str">
        <f>"248030400528"</f>
        <v>248030400528</v>
      </c>
      <c r="O3168" t="str">
        <f>"46002719960308532X"</f>
        <v>46002719960308532X</v>
      </c>
    </row>
    <row r="3169" customFormat="1" spans="1:15">
      <c r="A3169">
        <v>4217</v>
      </c>
      <c r="B3169" t="s">
        <v>3727</v>
      </c>
      <c r="C3169" t="str">
        <f>"460005199909260014"</f>
        <v>460005199909260014</v>
      </c>
      <c r="D3169" t="str">
        <f>"248030203011"</f>
        <v>248030203011</v>
      </c>
      <c r="L3169">
        <v>4217</v>
      </c>
      <c r="M3169" t="s">
        <v>3727</v>
      </c>
      <c r="N3169" t="str">
        <f>"248030203011"</f>
        <v>248030203011</v>
      </c>
      <c r="O3169" t="str">
        <f>"460005199909260014"</f>
        <v>460005199909260014</v>
      </c>
    </row>
    <row r="3170" customFormat="1" spans="1:15">
      <c r="A3170">
        <v>4218</v>
      </c>
      <c r="B3170" t="s">
        <v>3728</v>
      </c>
      <c r="C3170" t="str">
        <f>"460003200203080022"</f>
        <v>460003200203080022</v>
      </c>
      <c r="D3170" t="str">
        <f>"248030102730"</f>
        <v>248030102730</v>
      </c>
      <c r="L3170">
        <v>4218</v>
      </c>
      <c r="M3170" t="s">
        <v>3728</v>
      </c>
      <c r="N3170" t="str">
        <f>"248030102730"</f>
        <v>248030102730</v>
      </c>
      <c r="O3170" t="str">
        <f>"460003200203080022"</f>
        <v>460003200203080022</v>
      </c>
    </row>
    <row r="3171" customFormat="1" spans="1:15">
      <c r="A3171">
        <v>4220</v>
      </c>
      <c r="B3171" t="s">
        <v>3729</v>
      </c>
      <c r="C3171" t="str">
        <f>"152822199002054828"</f>
        <v>152822199002054828</v>
      </c>
      <c r="D3171" t="str">
        <f>"248030400724"</f>
        <v>248030400724</v>
      </c>
      <c r="L3171">
        <v>4220</v>
      </c>
      <c r="M3171" t="s">
        <v>3729</v>
      </c>
      <c r="N3171" t="str">
        <f>"248030400724"</f>
        <v>248030400724</v>
      </c>
      <c r="O3171" t="str">
        <f>"152822199002054828"</f>
        <v>152822199002054828</v>
      </c>
    </row>
    <row r="3172" customFormat="1" spans="1:15">
      <c r="A3172">
        <v>4221</v>
      </c>
      <c r="B3172" t="s">
        <v>3730</v>
      </c>
      <c r="C3172" t="str">
        <f>"421125199004062720"</f>
        <v>421125199004062720</v>
      </c>
      <c r="L3172">
        <v>4221</v>
      </c>
      <c r="M3172" t="s">
        <v>3730</v>
      </c>
      <c r="O3172" t="str">
        <f>"421125199004062720"</f>
        <v>421125199004062720</v>
      </c>
    </row>
    <row r="3173" customFormat="1" spans="1:15">
      <c r="A3173">
        <v>4222</v>
      </c>
      <c r="B3173" t="s">
        <v>3731</v>
      </c>
      <c r="C3173" t="str">
        <f>"46000419921207264X"</f>
        <v>46000419921207264X</v>
      </c>
      <c r="D3173" t="str">
        <f>"248030302617"</f>
        <v>248030302617</v>
      </c>
      <c r="L3173">
        <v>4222</v>
      </c>
      <c r="M3173" t="s">
        <v>3731</v>
      </c>
      <c r="N3173" t="str">
        <f>"248030302617"</f>
        <v>248030302617</v>
      </c>
      <c r="O3173" t="str">
        <f>"46000419921207264X"</f>
        <v>46000419921207264X</v>
      </c>
    </row>
    <row r="3174" customFormat="1" spans="1:15">
      <c r="A3174">
        <v>4224</v>
      </c>
      <c r="B3174" t="s">
        <v>3732</v>
      </c>
      <c r="C3174" t="str">
        <f>"46900319990606892X"</f>
        <v>46900319990606892X</v>
      </c>
      <c r="D3174" t="str">
        <f>"248030503607"</f>
        <v>248030503607</v>
      </c>
      <c r="L3174">
        <v>4224</v>
      </c>
      <c r="M3174" t="s">
        <v>3732</v>
      </c>
      <c r="N3174" t="str">
        <f>"248030503607"</f>
        <v>248030503607</v>
      </c>
      <c r="O3174" t="str">
        <f>"46900319990606892X"</f>
        <v>46900319990606892X</v>
      </c>
    </row>
    <row r="3175" customFormat="1" spans="1:15">
      <c r="A3175">
        <v>4225</v>
      </c>
      <c r="B3175" t="s">
        <v>3733</v>
      </c>
      <c r="C3175" t="str">
        <f>"469003199707123930"</f>
        <v>469003199707123930</v>
      </c>
      <c r="L3175">
        <v>4225</v>
      </c>
      <c r="M3175" t="s">
        <v>3733</v>
      </c>
      <c r="O3175" t="str">
        <f>"469003199707123930"</f>
        <v>469003199707123930</v>
      </c>
    </row>
    <row r="3176" customFormat="1" spans="1:15">
      <c r="A3176">
        <v>4226</v>
      </c>
      <c r="B3176" t="s">
        <v>3734</v>
      </c>
      <c r="C3176" t="str">
        <f>"460004198610094129"</f>
        <v>460004198610094129</v>
      </c>
      <c r="L3176">
        <v>4226</v>
      </c>
      <c r="M3176" t="s">
        <v>3734</v>
      </c>
      <c r="O3176" t="str">
        <f>"460004198610094129"</f>
        <v>460004198610094129</v>
      </c>
    </row>
    <row r="3177" customFormat="1" spans="1:15">
      <c r="A3177">
        <v>4227</v>
      </c>
      <c r="B3177" t="s">
        <v>3735</v>
      </c>
      <c r="C3177" t="str">
        <f>"342201200008260426"</f>
        <v>342201200008260426</v>
      </c>
      <c r="D3177" t="str">
        <f>"248030100510"</f>
        <v>248030100510</v>
      </c>
      <c r="L3177">
        <v>4227</v>
      </c>
      <c r="M3177" t="s">
        <v>3735</v>
      </c>
      <c r="N3177" t="str">
        <f>"248030100510"</f>
        <v>248030100510</v>
      </c>
      <c r="O3177" t="str">
        <f>"342201200008260426"</f>
        <v>342201200008260426</v>
      </c>
    </row>
    <row r="3178" customFormat="1" spans="1:15">
      <c r="A3178">
        <v>4228</v>
      </c>
      <c r="B3178" t="s">
        <v>3736</v>
      </c>
      <c r="C3178" t="str">
        <f>"460002200005044438"</f>
        <v>460002200005044438</v>
      </c>
      <c r="D3178" t="str">
        <f>"248030202322"</f>
        <v>248030202322</v>
      </c>
      <c r="L3178">
        <v>4228</v>
      </c>
      <c r="M3178" t="s">
        <v>3736</v>
      </c>
      <c r="N3178" t="str">
        <f>"248030202322"</f>
        <v>248030202322</v>
      </c>
      <c r="O3178" t="str">
        <f>"460002200005044438"</f>
        <v>460002200005044438</v>
      </c>
    </row>
    <row r="3179" customFormat="1" spans="1:15">
      <c r="A3179">
        <v>4229</v>
      </c>
      <c r="B3179" t="s">
        <v>3737</v>
      </c>
      <c r="C3179" t="str">
        <f>"360681200011020015"</f>
        <v>360681200011020015</v>
      </c>
      <c r="D3179" t="str">
        <f>"248030502229"</f>
        <v>248030502229</v>
      </c>
      <c r="L3179">
        <v>4229</v>
      </c>
      <c r="M3179" t="s">
        <v>3737</v>
      </c>
      <c r="N3179" t="str">
        <f>"248030502229"</f>
        <v>248030502229</v>
      </c>
      <c r="O3179" t="str">
        <f>"360681200011020015"</f>
        <v>360681200011020015</v>
      </c>
    </row>
    <row r="3180" customFormat="1" spans="1:15">
      <c r="A3180">
        <v>4230</v>
      </c>
      <c r="B3180" t="s">
        <v>3738</v>
      </c>
      <c r="C3180" t="str">
        <f>"460027199703118221"</f>
        <v>460027199703118221</v>
      </c>
      <c r="L3180">
        <v>4230</v>
      </c>
      <c r="M3180" t="s">
        <v>3738</v>
      </c>
      <c r="O3180" t="str">
        <f>"460027199703118221"</f>
        <v>460027199703118221</v>
      </c>
    </row>
    <row r="3181" customFormat="1" spans="1:15">
      <c r="A3181">
        <v>4231</v>
      </c>
      <c r="B3181" t="s">
        <v>3739</v>
      </c>
      <c r="C3181" t="str">
        <f>"37293019910202485X"</f>
        <v>37293019910202485X</v>
      </c>
      <c r="D3181" t="str">
        <f>"248030402810"</f>
        <v>248030402810</v>
      </c>
      <c r="L3181">
        <v>4231</v>
      </c>
      <c r="M3181" t="s">
        <v>3739</v>
      </c>
      <c r="N3181" t="str">
        <f>"248030402810"</f>
        <v>248030402810</v>
      </c>
      <c r="O3181" t="str">
        <f>"37293019910202485X"</f>
        <v>37293019910202485X</v>
      </c>
    </row>
    <row r="3182" customFormat="1" spans="1:15">
      <c r="A3182">
        <v>4233</v>
      </c>
      <c r="B3182" t="s">
        <v>3740</v>
      </c>
      <c r="C3182" t="str">
        <f>"230105200203072327"</f>
        <v>230105200203072327</v>
      </c>
      <c r="D3182" t="str">
        <f>"248030500120"</f>
        <v>248030500120</v>
      </c>
      <c r="L3182">
        <v>4233</v>
      </c>
      <c r="M3182" t="s">
        <v>3740</v>
      </c>
      <c r="N3182" t="str">
        <f>"248030500120"</f>
        <v>248030500120</v>
      </c>
      <c r="O3182" t="str">
        <f>"230105200203072327"</f>
        <v>230105200203072327</v>
      </c>
    </row>
    <row r="3183" customFormat="1" spans="1:15">
      <c r="A3183">
        <v>4234</v>
      </c>
      <c r="B3183" t="s">
        <v>3741</v>
      </c>
      <c r="C3183" t="str">
        <f>"460003200012152222"</f>
        <v>460003200012152222</v>
      </c>
      <c r="D3183" t="str">
        <f>"248030101204"</f>
        <v>248030101204</v>
      </c>
      <c r="L3183">
        <v>4234</v>
      </c>
      <c r="M3183" t="s">
        <v>3741</v>
      </c>
      <c r="N3183" t="str">
        <f>"248030101204"</f>
        <v>248030101204</v>
      </c>
      <c r="O3183" t="str">
        <f>"460003200012152222"</f>
        <v>460003200012152222</v>
      </c>
    </row>
    <row r="3184" customFormat="1" spans="1:15">
      <c r="A3184">
        <v>4235</v>
      </c>
      <c r="B3184" t="s">
        <v>3742</v>
      </c>
      <c r="C3184" t="str">
        <f>"460002199710055428"</f>
        <v>460002199710055428</v>
      </c>
      <c r="D3184" t="str">
        <f>"248030402114"</f>
        <v>248030402114</v>
      </c>
      <c r="L3184">
        <v>4235</v>
      </c>
      <c r="M3184" t="s">
        <v>3742</v>
      </c>
      <c r="N3184" t="str">
        <f>"248030402114"</f>
        <v>248030402114</v>
      </c>
      <c r="O3184" t="str">
        <f>"460002199710055428"</f>
        <v>460002199710055428</v>
      </c>
    </row>
    <row r="3185" customFormat="1" spans="1:15">
      <c r="A3185">
        <v>4236</v>
      </c>
      <c r="B3185" t="s">
        <v>3743</v>
      </c>
      <c r="C3185" t="str">
        <f>"460003199207041826"</f>
        <v>460003199207041826</v>
      </c>
      <c r="L3185">
        <v>4236</v>
      </c>
      <c r="M3185" t="s">
        <v>3743</v>
      </c>
      <c r="O3185" t="str">
        <f>"460003199207041826"</f>
        <v>460003199207041826</v>
      </c>
    </row>
    <row r="3186" customFormat="1" spans="1:15">
      <c r="A3186">
        <v>4237</v>
      </c>
      <c r="B3186" t="s">
        <v>3744</v>
      </c>
      <c r="C3186" t="str">
        <f>"460006199403292920"</f>
        <v>460006199403292920</v>
      </c>
      <c r="D3186" t="str">
        <f>"248030103215"</f>
        <v>248030103215</v>
      </c>
      <c r="L3186">
        <v>4237</v>
      </c>
      <c r="M3186" t="s">
        <v>3744</v>
      </c>
      <c r="N3186" t="str">
        <f>"248030103215"</f>
        <v>248030103215</v>
      </c>
      <c r="O3186" t="str">
        <f>"460006199403292920"</f>
        <v>460006199403292920</v>
      </c>
    </row>
    <row r="3187" customFormat="1" spans="1:15">
      <c r="A3187">
        <v>4238</v>
      </c>
      <c r="B3187" t="s">
        <v>3745</v>
      </c>
      <c r="C3187" t="str">
        <f>"460022199204294325"</f>
        <v>460022199204294325</v>
      </c>
      <c r="L3187">
        <v>4238</v>
      </c>
      <c r="M3187" t="s">
        <v>3745</v>
      </c>
      <c r="O3187" t="str">
        <f>"460022199204294325"</f>
        <v>460022199204294325</v>
      </c>
    </row>
    <row r="3188" customFormat="1" spans="1:15">
      <c r="A3188">
        <v>4239</v>
      </c>
      <c r="B3188" t="s">
        <v>3746</v>
      </c>
      <c r="C3188" t="str">
        <f>"460006199705080413"</f>
        <v>460006199705080413</v>
      </c>
      <c r="L3188">
        <v>4239</v>
      </c>
      <c r="M3188" t="s">
        <v>3746</v>
      </c>
      <c r="O3188" t="str">
        <f>"460006199705080413"</f>
        <v>460006199705080413</v>
      </c>
    </row>
    <row r="3189" customFormat="1" spans="1:15">
      <c r="A3189">
        <v>4240</v>
      </c>
      <c r="B3189" t="s">
        <v>3747</v>
      </c>
      <c r="C3189" t="str">
        <f>"450603199712221220"</f>
        <v>450603199712221220</v>
      </c>
      <c r="D3189" t="str">
        <f>"248030201428"</f>
        <v>248030201428</v>
      </c>
      <c r="L3189">
        <v>4240</v>
      </c>
      <c r="M3189" t="s">
        <v>3747</v>
      </c>
      <c r="N3189" t="str">
        <f>"248030201428"</f>
        <v>248030201428</v>
      </c>
      <c r="O3189" t="str">
        <f>"450603199712221220"</f>
        <v>450603199712221220</v>
      </c>
    </row>
    <row r="3190" customFormat="1" spans="1:15">
      <c r="A3190">
        <v>4242</v>
      </c>
      <c r="B3190" t="s">
        <v>3548</v>
      </c>
      <c r="C3190" t="str">
        <f>"46000619970925402X"</f>
        <v>46000619970925402X</v>
      </c>
      <c r="L3190">
        <v>4242</v>
      </c>
      <c r="M3190" t="s">
        <v>3548</v>
      </c>
      <c r="O3190" t="str">
        <f>"46000619970925402X"</f>
        <v>46000619970925402X</v>
      </c>
    </row>
    <row r="3191" customFormat="1" spans="1:15">
      <c r="A3191">
        <v>4244</v>
      </c>
      <c r="B3191" t="s">
        <v>3748</v>
      </c>
      <c r="C3191" t="str">
        <f>"460102198312282124"</f>
        <v>460102198312282124</v>
      </c>
      <c r="D3191" t="str">
        <f>"248030501424"</f>
        <v>248030501424</v>
      </c>
      <c r="L3191">
        <v>4244</v>
      </c>
      <c r="M3191" t="s">
        <v>3748</v>
      </c>
      <c r="N3191" t="str">
        <f>"248030501424"</f>
        <v>248030501424</v>
      </c>
      <c r="O3191" t="str">
        <f>"460102198312282124"</f>
        <v>460102198312282124</v>
      </c>
    </row>
    <row r="3192" customFormat="1" spans="1:15">
      <c r="A3192">
        <v>4245</v>
      </c>
      <c r="B3192" t="s">
        <v>3749</v>
      </c>
      <c r="C3192" t="str">
        <f>"460004199407064025"</f>
        <v>460004199407064025</v>
      </c>
      <c r="D3192" t="str">
        <f>"248030502921"</f>
        <v>248030502921</v>
      </c>
      <c r="L3192">
        <v>4245</v>
      </c>
      <c r="M3192" t="s">
        <v>3749</v>
      </c>
      <c r="N3192" t="str">
        <f>"248030502921"</f>
        <v>248030502921</v>
      </c>
      <c r="O3192" t="str">
        <f>"460004199407064025"</f>
        <v>460004199407064025</v>
      </c>
    </row>
    <row r="3193" customFormat="1" spans="1:15">
      <c r="A3193">
        <v>4246</v>
      </c>
      <c r="B3193" t="s">
        <v>3750</v>
      </c>
      <c r="C3193" t="str">
        <f>"460005200103211710"</f>
        <v>460005200103211710</v>
      </c>
      <c r="D3193" t="str">
        <f>"248030200710"</f>
        <v>248030200710</v>
      </c>
      <c r="L3193">
        <v>4246</v>
      </c>
      <c r="M3193" t="s">
        <v>3750</v>
      </c>
      <c r="N3193" t="str">
        <f>"248030200710"</f>
        <v>248030200710</v>
      </c>
      <c r="O3193" t="str">
        <f>"460005200103211710"</f>
        <v>460005200103211710</v>
      </c>
    </row>
    <row r="3194" customFormat="1" spans="1:15">
      <c r="A3194">
        <v>4247</v>
      </c>
      <c r="B3194" t="s">
        <v>3751</v>
      </c>
      <c r="C3194" t="str">
        <f>"460103199407240323"</f>
        <v>460103199407240323</v>
      </c>
      <c r="D3194" t="str">
        <f>"248030501426"</f>
        <v>248030501426</v>
      </c>
      <c r="L3194">
        <v>4247</v>
      </c>
      <c r="M3194" t="s">
        <v>3751</v>
      </c>
      <c r="N3194" t="str">
        <f>"248030501426"</f>
        <v>248030501426</v>
      </c>
      <c r="O3194" t="str">
        <f>"460103199407240323"</f>
        <v>460103199407240323</v>
      </c>
    </row>
    <row r="3195" customFormat="1" spans="1:15">
      <c r="A3195">
        <v>4248</v>
      </c>
      <c r="B3195" t="s">
        <v>3752</v>
      </c>
      <c r="C3195" t="str">
        <f>"460003199811010217"</f>
        <v>460003199811010217</v>
      </c>
      <c r="D3195" t="str">
        <f>"248030201516"</f>
        <v>248030201516</v>
      </c>
      <c r="L3195">
        <v>4248</v>
      </c>
      <c r="M3195" t="s">
        <v>3752</v>
      </c>
      <c r="N3195" t="str">
        <f>"248030201516"</f>
        <v>248030201516</v>
      </c>
      <c r="O3195" t="str">
        <f>"460003199811010217"</f>
        <v>460003199811010217</v>
      </c>
    </row>
    <row r="3196" customFormat="1" spans="1:15">
      <c r="A3196">
        <v>4249</v>
      </c>
      <c r="B3196" t="s">
        <v>1356</v>
      </c>
      <c r="C3196" t="str">
        <f>"460004200108063642"</f>
        <v>460004200108063642</v>
      </c>
      <c r="L3196">
        <v>4249</v>
      </c>
      <c r="M3196" t="s">
        <v>1356</v>
      </c>
      <c r="O3196" t="str">
        <f>"460004200108063642"</f>
        <v>460004200108063642</v>
      </c>
    </row>
    <row r="3197" customFormat="1" spans="1:15">
      <c r="A3197">
        <v>4250</v>
      </c>
      <c r="B3197" t="s">
        <v>3753</v>
      </c>
      <c r="C3197" t="str">
        <f>"46000619970110094X"</f>
        <v>46000619970110094X</v>
      </c>
      <c r="D3197" t="str">
        <f>"248030401701"</f>
        <v>248030401701</v>
      </c>
      <c r="L3197">
        <v>4250</v>
      </c>
      <c r="M3197" t="s">
        <v>3753</v>
      </c>
      <c r="N3197" t="str">
        <f>"248030401701"</f>
        <v>248030401701</v>
      </c>
      <c r="O3197" t="str">
        <f>"46000619970110094X"</f>
        <v>46000619970110094X</v>
      </c>
    </row>
    <row r="3198" customFormat="1" spans="1:15">
      <c r="A3198">
        <v>4251</v>
      </c>
      <c r="B3198" t="s">
        <v>3754</v>
      </c>
      <c r="C3198" t="str">
        <f>"46010220010927062X"</f>
        <v>46010220010927062X</v>
      </c>
      <c r="D3198" t="str">
        <f>"248030203714"</f>
        <v>248030203714</v>
      </c>
      <c r="L3198">
        <v>4251</v>
      </c>
      <c r="M3198" t="s">
        <v>3754</v>
      </c>
      <c r="N3198" t="str">
        <f>"248030203714"</f>
        <v>248030203714</v>
      </c>
      <c r="O3198" t="str">
        <f>"46010220010927062X"</f>
        <v>46010220010927062X</v>
      </c>
    </row>
    <row r="3199" customFormat="1" spans="1:15">
      <c r="A3199">
        <v>4252</v>
      </c>
      <c r="B3199" t="s">
        <v>3755</v>
      </c>
      <c r="C3199" t="str">
        <f>"460003200002261812"</f>
        <v>460003200002261812</v>
      </c>
      <c r="L3199">
        <v>4252</v>
      </c>
      <c r="M3199" t="s">
        <v>3755</v>
      </c>
      <c r="O3199" t="str">
        <f>"460003200002261812"</f>
        <v>460003200002261812</v>
      </c>
    </row>
    <row r="3200" customFormat="1" spans="1:15">
      <c r="A3200">
        <v>4253</v>
      </c>
      <c r="B3200" t="s">
        <v>3756</v>
      </c>
      <c r="C3200" t="str">
        <f>"460102200209262125"</f>
        <v>460102200209262125</v>
      </c>
      <c r="D3200" t="str">
        <f>"248030504012"</f>
        <v>248030504012</v>
      </c>
      <c r="L3200">
        <v>4253</v>
      </c>
      <c r="M3200" t="s">
        <v>3756</v>
      </c>
      <c r="N3200" t="str">
        <f>"248030504012"</f>
        <v>248030504012</v>
      </c>
      <c r="O3200" t="str">
        <f>"460102200209262125"</f>
        <v>460102200209262125</v>
      </c>
    </row>
    <row r="3201" customFormat="1" spans="1:15">
      <c r="A3201">
        <v>4255</v>
      </c>
      <c r="B3201" t="s">
        <v>3757</v>
      </c>
      <c r="C3201" t="str">
        <f>"460003199606125648"</f>
        <v>460003199606125648</v>
      </c>
      <c r="L3201">
        <v>4255</v>
      </c>
      <c r="M3201" t="s">
        <v>3757</v>
      </c>
      <c r="O3201" t="str">
        <f>"460003199606125648"</f>
        <v>460003199606125648</v>
      </c>
    </row>
    <row r="3202" customFormat="1" spans="1:15">
      <c r="A3202">
        <v>4257</v>
      </c>
      <c r="B3202" t="s">
        <v>3758</v>
      </c>
      <c r="C3202" t="str">
        <f>"460300199702140028"</f>
        <v>460300199702140028</v>
      </c>
      <c r="D3202" t="str">
        <f>"248030501111"</f>
        <v>248030501111</v>
      </c>
      <c r="L3202">
        <v>4257</v>
      </c>
      <c r="M3202" t="s">
        <v>3758</v>
      </c>
      <c r="N3202" t="str">
        <f>"248030501111"</f>
        <v>248030501111</v>
      </c>
      <c r="O3202" t="str">
        <f>"460300199702140028"</f>
        <v>460300199702140028</v>
      </c>
    </row>
    <row r="3203" customFormat="1" spans="1:15">
      <c r="A3203">
        <v>4258</v>
      </c>
      <c r="B3203" t="s">
        <v>3759</v>
      </c>
      <c r="C3203" t="str">
        <f>"460106200112284120"</f>
        <v>460106200112284120</v>
      </c>
      <c r="D3203" t="str">
        <f>"248030301222"</f>
        <v>248030301222</v>
      </c>
      <c r="L3203">
        <v>4258</v>
      </c>
      <c r="M3203" t="s">
        <v>3759</v>
      </c>
      <c r="N3203" t="str">
        <f>"248030301222"</f>
        <v>248030301222</v>
      </c>
      <c r="O3203" t="str">
        <f>"460106200112284120"</f>
        <v>460106200112284120</v>
      </c>
    </row>
    <row r="3204" customFormat="1" spans="1:15">
      <c r="A3204">
        <v>4259</v>
      </c>
      <c r="B3204" t="s">
        <v>3760</v>
      </c>
      <c r="C3204" t="str">
        <f>"152102200002120313"</f>
        <v>152102200002120313</v>
      </c>
      <c r="D3204" t="str">
        <f>"248030502217"</f>
        <v>248030502217</v>
      </c>
      <c r="L3204">
        <v>4259</v>
      </c>
      <c r="M3204" t="s">
        <v>3760</v>
      </c>
      <c r="N3204" t="str">
        <f>"248030502217"</f>
        <v>248030502217</v>
      </c>
      <c r="O3204" t="str">
        <f>"152102200002120313"</f>
        <v>152102200002120313</v>
      </c>
    </row>
    <row r="3205" customFormat="1" spans="1:15">
      <c r="A3205">
        <v>4260</v>
      </c>
      <c r="B3205" t="s">
        <v>3761</v>
      </c>
      <c r="C3205" t="str">
        <f>"469003199908023020"</f>
        <v>469003199908023020</v>
      </c>
      <c r="L3205">
        <v>4260</v>
      </c>
      <c r="M3205" t="s">
        <v>3761</v>
      </c>
      <c r="O3205" t="str">
        <f>"469003199908023020"</f>
        <v>469003199908023020</v>
      </c>
    </row>
    <row r="3206" customFormat="1" spans="1:15">
      <c r="A3206">
        <v>4261</v>
      </c>
      <c r="B3206" t="s">
        <v>3762</v>
      </c>
      <c r="C3206" t="str">
        <f>"460006200203088429"</f>
        <v>460006200203088429</v>
      </c>
      <c r="D3206" t="str">
        <f>"248030100903"</f>
        <v>248030100903</v>
      </c>
      <c r="L3206">
        <v>4261</v>
      </c>
      <c r="M3206" t="s">
        <v>3762</v>
      </c>
      <c r="N3206" t="str">
        <f>"248030100903"</f>
        <v>248030100903</v>
      </c>
      <c r="O3206" t="str">
        <f>"460006200203088429"</f>
        <v>460006200203088429</v>
      </c>
    </row>
    <row r="3207" customFormat="1" spans="1:15">
      <c r="A3207">
        <v>4263</v>
      </c>
      <c r="B3207" t="s">
        <v>3763</v>
      </c>
      <c r="C3207" t="str">
        <f>"460027199607054723"</f>
        <v>460027199607054723</v>
      </c>
      <c r="D3207" t="str">
        <f>"248030502103"</f>
        <v>248030502103</v>
      </c>
      <c r="L3207">
        <v>4263</v>
      </c>
      <c r="M3207" t="s">
        <v>3763</v>
      </c>
      <c r="N3207" t="str">
        <f>"248030502103"</f>
        <v>248030502103</v>
      </c>
      <c r="O3207" t="str">
        <f>"460027199607054723"</f>
        <v>460027199607054723</v>
      </c>
    </row>
    <row r="3208" customFormat="1" spans="1:15">
      <c r="A3208">
        <v>4264</v>
      </c>
      <c r="B3208" t="s">
        <v>3764</v>
      </c>
      <c r="C3208" t="str">
        <f>"460104198705140322"</f>
        <v>460104198705140322</v>
      </c>
      <c r="D3208" t="str">
        <f>"248030501421"</f>
        <v>248030501421</v>
      </c>
      <c r="L3208">
        <v>4264</v>
      </c>
      <c r="M3208" t="s">
        <v>3764</v>
      </c>
      <c r="N3208" t="str">
        <f>"248030501421"</f>
        <v>248030501421</v>
      </c>
      <c r="O3208" t="str">
        <f>"460104198705140322"</f>
        <v>460104198705140322</v>
      </c>
    </row>
    <row r="3209" customFormat="1" spans="1:15">
      <c r="A3209">
        <v>4265</v>
      </c>
      <c r="B3209" t="s">
        <v>3765</v>
      </c>
      <c r="C3209" t="str">
        <f>"460103199902172727"</f>
        <v>460103199902172727</v>
      </c>
      <c r="D3209" t="str">
        <f>"248030503929"</f>
        <v>248030503929</v>
      </c>
      <c r="L3209">
        <v>4265</v>
      </c>
      <c r="M3209" t="s">
        <v>3765</v>
      </c>
      <c r="N3209" t="str">
        <f>"248030503929"</f>
        <v>248030503929</v>
      </c>
      <c r="O3209" t="str">
        <f>"460103199902172727"</f>
        <v>460103199902172727</v>
      </c>
    </row>
    <row r="3210" customFormat="1" spans="1:15">
      <c r="A3210">
        <v>4266</v>
      </c>
      <c r="B3210" t="s">
        <v>3766</v>
      </c>
      <c r="C3210" t="str">
        <f>"460006199608241617"</f>
        <v>460006199608241617</v>
      </c>
      <c r="D3210" t="str">
        <f>"248030200316"</f>
        <v>248030200316</v>
      </c>
      <c r="L3210">
        <v>4266</v>
      </c>
      <c r="M3210" t="s">
        <v>3766</v>
      </c>
      <c r="N3210" t="str">
        <f>"248030200316"</f>
        <v>248030200316</v>
      </c>
      <c r="O3210" t="str">
        <f>"460006199608241617"</f>
        <v>460006199608241617</v>
      </c>
    </row>
    <row r="3211" customFormat="1" spans="1:15">
      <c r="A3211">
        <v>4267</v>
      </c>
      <c r="B3211" t="s">
        <v>3767</v>
      </c>
      <c r="C3211" t="str">
        <f>"46010219910422272X"</f>
        <v>46010219910422272X</v>
      </c>
      <c r="D3211" t="str">
        <f>"248030300206"</f>
        <v>248030300206</v>
      </c>
      <c r="L3211">
        <v>4267</v>
      </c>
      <c r="M3211" t="s">
        <v>3767</v>
      </c>
      <c r="N3211" t="str">
        <f>"248030300206"</f>
        <v>248030300206</v>
      </c>
      <c r="O3211" t="str">
        <f>"46010219910422272X"</f>
        <v>46010219910422272X</v>
      </c>
    </row>
    <row r="3212" customFormat="1" spans="1:15">
      <c r="A3212">
        <v>4269</v>
      </c>
      <c r="B3212" t="s">
        <v>3768</v>
      </c>
      <c r="C3212" t="str">
        <f>"460007200009027215"</f>
        <v>460007200009027215</v>
      </c>
      <c r="L3212">
        <v>4269</v>
      </c>
      <c r="M3212" t="s">
        <v>3768</v>
      </c>
      <c r="O3212" t="str">
        <f>"460007200009027215"</f>
        <v>460007200009027215</v>
      </c>
    </row>
    <row r="3213" customFormat="1" spans="1:15">
      <c r="A3213">
        <v>4270</v>
      </c>
      <c r="B3213" t="s">
        <v>3769</v>
      </c>
      <c r="C3213" t="str">
        <f>"460006199511101618"</f>
        <v>460006199511101618</v>
      </c>
      <c r="D3213" t="str">
        <f>"248030301429"</f>
        <v>248030301429</v>
      </c>
      <c r="L3213">
        <v>4270</v>
      </c>
      <c r="M3213" t="s">
        <v>3769</v>
      </c>
      <c r="N3213" t="str">
        <f>"248030301429"</f>
        <v>248030301429</v>
      </c>
      <c r="O3213" t="str">
        <f>"460006199511101618"</f>
        <v>460006199511101618</v>
      </c>
    </row>
    <row r="3214" customFormat="1" spans="1:15">
      <c r="A3214">
        <v>4274</v>
      </c>
      <c r="B3214" t="s">
        <v>3770</v>
      </c>
      <c r="C3214" t="str">
        <f>"130503198902070633"</f>
        <v>130503198902070633</v>
      </c>
      <c r="D3214" t="str">
        <f>"248030400806"</f>
        <v>248030400806</v>
      </c>
      <c r="L3214">
        <v>4274</v>
      </c>
      <c r="M3214" t="s">
        <v>3770</v>
      </c>
      <c r="N3214" t="str">
        <f>"248030400806"</f>
        <v>248030400806</v>
      </c>
      <c r="O3214" t="str">
        <f>"130503198902070633"</f>
        <v>130503198902070633</v>
      </c>
    </row>
    <row r="3215" customFormat="1" spans="1:15">
      <c r="A3215">
        <v>4275</v>
      </c>
      <c r="B3215" t="s">
        <v>3771</v>
      </c>
      <c r="C3215" t="str">
        <f>"460006199705104016"</f>
        <v>460006199705104016</v>
      </c>
      <c r="L3215">
        <v>4275</v>
      </c>
      <c r="M3215" t="s">
        <v>3771</v>
      </c>
      <c r="O3215" t="str">
        <f>"460006199705104016"</f>
        <v>460006199705104016</v>
      </c>
    </row>
    <row r="3216" customFormat="1" spans="1:15">
      <c r="A3216">
        <v>4276</v>
      </c>
      <c r="B3216" t="s">
        <v>3772</v>
      </c>
      <c r="C3216" t="str">
        <f>"469003199503041423"</f>
        <v>469003199503041423</v>
      </c>
      <c r="D3216" t="str">
        <f>"248030500802"</f>
        <v>248030500802</v>
      </c>
      <c r="L3216">
        <v>4276</v>
      </c>
      <c r="M3216" t="s">
        <v>3772</v>
      </c>
      <c r="N3216" t="str">
        <f>"248030500802"</f>
        <v>248030500802</v>
      </c>
      <c r="O3216" t="str">
        <f>"469003199503041423"</f>
        <v>469003199503041423</v>
      </c>
    </row>
    <row r="3217" customFormat="1" spans="1:15">
      <c r="A3217">
        <v>4278</v>
      </c>
      <c r="B3217" t="s">
        <v>3773</v>
      </c>
      <c r="C3217" t="str">
        <f>"460022200011155826"</f>
        <v>460022200011155826</v>
      </c>
      <c r="D3217" t="str">
        <f>"248030103409"</f>
        <v>248030103409</v>
      </c>
      <c r="L3217">
        <v>4278</v>
      </c>
      <c r="M3217" t="s">
        <v>3773</v>
      </c>
      <c r="N3217" t="str">
        <f>"248030103409"</f>
        <v>248030103409</v>
      </c>
      <c r="O3217" t="str">
        <f>"460022200011155826"</f>
        <v>460022200011155826</v>
      </c>
    </row>
    <row r="3218" customFormat="1" spans="1:15">
      <c r="A3218">
        <v>4279</v>
      </c>
      <c r="B3218" t="s">
        <v>3774</v>
      </c>
      <c r="C3218" t="str">
        <f>"469025200202274526"</f>
        <v>469025200202274526</v>
      </c>
      <c r="D3218" t="str">
        <f>"248030502726"</f>
        <v>248030502726</v>
      </c>
      <c r="L3218">
        <v>4279</v>
      </c>
      <c r="M3218" t="s">
        <v>3774</v>
      </c>
      <c r="N3218" t="str">
        <f>"248030502726"</f>
        <v>248030502726</v>
      </c>
      <c r="O3218" t="str">
        <f>"469025200202274526"</f>
        <v>469025200202274526</v>
      </c>
    </row>
    <row r="3219" customFormat="1" spans="1:15">
      <c r="A3219">
        <v>4281</v>
      </c>
      <c r="B3219" t="s">
        <v>3775</v>
      </c>
      <c r="C3219" t="str">
        <f>"460002199703034944"</f>
        <v>460002199703034944</v>
      </c>
      <c r="D3219" t="str">
        <f>"248030104115"</f>
        <v>248030104115</v>
      </c>
      <c r="L3219">
        <v>4281</v>
      </c>
      <c r="M3219" t="s">
        <v>3775</v>
      </c>
      <c r="N3219" t="str">
        <f>"248030104115"</f>
        <v>248030104115</v>
      </c>
      <c r="O3219" t="str">
        <f>"460002199703034944"</f>
        <v>460002199703034944</v>
      </c>
    </row>
    <row r="3220" customFormat="1" spans="1:15">
      <c r="A3220">
        <v>4282</v>
      </c>
      <c r="B3220" t="s">
        <v>3776</v>
      </c>
      <c r="C3220" t="str">
        <f>"460007199705145009"</f>
        <v>460007199705145009</v>
      </c>
      <c r="L3220">
        <v>4282</v>
      </c>
      <c r="M3220" t="s">
        <v>3776</v>
      </c>
      <c r="O3220" t="str">
        <f>"460007199705145009"</f>
        <v>460007199705145009</v>
      </c>
    </row>
    <row r="3221" customFormat="1" spans="1:15">
      <c r="A3221">
        <v>4283</v>
      </c>
      <c r="B3221" t="s">
        <v>3777</v>
      </c>
      <c r="C3221" t="str">
        <f>"469003199907135928"</f>
        <v>469003199907135928</v>
      </c>
      <c r="D3221" t="str">
        <f>"248030203802"</f>
        <v>248030203802</v>
      </c>
      <c r="L3221">
        <v>4283</v>
      </c>
      <c r="M3221" t="s">
        <v>3777</v>
      </c>
      <c r="N3221" t="str">
        <f>"248030203802"</f>
        <v>248030203802</v>
      </c>
      <c r="O3221" t="str">
        <f>"469003199907135928"</f>
        <v>469003199907135928</v>
      </c>
    </row>
    <row r="3222" customFormat="1" spans="1:15">
      <c r="A3222">
        <v>4284</v>
      </c>
      <c r="B3222" t="s">
        <v>3778</v>
      </c>
      <c r="C3222" t="str">
        <f>"460027199701187629"</f>
        <v>460027199701187629</v>
      </c>
      <c r="D3222" t="str">
        <f>"248030502106"</f>
        <v>248030502106</v>
      </c>
      <c r="L3222">
        <v>4284</v>
      </c>
      <c r="M3222" t="s">
        <v>3778</v>
      </c>
      <c r="N3222" t="str">
        <f>"248030502106"</f>
        <v>248030502106</v>
      </c>
      <c r="O3222" t="str">
        <f>"460027199701187629"</f>
        <v>460027199701187629</v>
      </c>
    </row>
    <row r="3223" customFormat="1" spans="1:15">
      <c r="A3223">
        <v>4285</v>
      </c>
      <c r="B3223" t="s">
        <v>3779</v>
      </c>
      <c r="C3223" t="str">
        <f>"460007200007288024"</f>
        <v>460007200007288024</v>
      </c>
      <c r="D3223" t="str">
        <f>"248030503909"</f>
        <v>248030503909</v>
      </c>
      <c r="L3223">
        <v>4285</v>
      </c>
      <c r="M3223" t="s">
        <v>3779</v>
      </c>
      <c r="N3223" t="str">
        <f>"248030503909"</f>
        <v>248030503909</v>
      </c>
      <c r="O3223" t="str">
        <f>"460007200007288024"</f>
        <v>460007200007288024</v>
      </c>
    </row>
    <row r="3224" customFormat="1" spans="1:15">
      <c r="A3224">
        <v>4286</v>
      </c>
      <c r="B3224" t="s">
        <v>3780</v>
      </c>
      <c r="C3224" t="str">
        <f>"460033199907213244"</f>
        <v>460033199907213244</v>
      </c>
      <c r="D3224" t="str">
        <f>"248030403924"</f>
        <v>248030403924</v>
      </c>
      <c r="L3224">
        <v>4286</v>
      </c>
      <c r="M3224" t="s">
        <v>3780</v>
      </c>
      <c r="N3224" t="str">
        <f>"248030403924"</f>
        <v>248030403924</v>
      </c>
      <c r="O3224" t="str">
        <f>"460033199907213244"</f>
        <v>460033199907213244</v>
      </c>
    </row>
    <row r="3225" customFormat="1" spans="1:15">
      <c r="A3225">
        <v>4287</v>
      </c>
      <c r="B3225" t="s">
        <v>3781</v>
      </c>
      <c r="C3225" t="str">
        <f>"46003119950928081X"</f>
        <v>46003119950928081X</v>
      </c>
      <c r="L3225">
        <v>4287</v>
      </c>
      <c r="M3225" t="s">
        <v>3781</v>
      </c>
      <c r="O3225" t="str">
        <f>"46003119950928081X"</f>
        <v>46003119950928081X</v>
      </c>
    </row>
    <row r="3226" customFormat="1" spans="1:15">
      <c r="A3226">
        <v>4288</v>
      </c>
      <c r="B3226" t="s">
        <v>3782</v>
      </c>
      <c r="C3226" t="str">
        <f>"460200199001155117"</f>
        <v>460200199001155117</v>
      </c>
      <c r="D3226" t="str">
        <f>"248030100118"</f>
        <v>248030100118</v>
      </c>
      <c r="L3226">
        <v>4288</v>
      </c>
      <c r="M3226" t="s">
        <v>3782</v>
      </c>
      <c r="N3226" t="str">
        <f>"248030100118"</f>
        <v>248030100118</v>
      </c>
      <c r="O3226" t="str">
        <f>"460200199001155117"</f>
        <v>460200199001155117</v>
      </c>
    </row>
    <row r="3227" customFormat="1" spans="1:15">
      <c r="A3227">
        <v>4289</v>
      </c>
      <c r="B3227" t="s">
        <v>3783</v>
      </c>
      <c r="C3227" t="str">
        <f>"230102200204134826"</f>
        <v>230102200204134826</v>
      </c>
      <c r="D3227" t="str">
        <f>"248030203821"</f>
        <v>248030203821</v>
      </c>
      <c r="L3227">
        <v>4289</v>
      </c>
      <c r="M3227" t="s">
        <v>3783</v>
      </c>
      <c r="N3227" t="str">
        <f>"248030203821"</f>
        <v>248030203821</v>
      </c>
      <c r="O3227" t="str">
        <f>"230102200204134826"</f>
        <v>230102200204134826</v>
      </c>
    </row>
    <row r="3228" customFormat="1" spans="1:15">
      <c r="A3228">
        <v>4290</v>
      </c>
      <c r="B3228" t="s">
        <v>3784</v>
      </c>
      <c r="C3228" t="str">
        <f>"460102198807282724"</f>
        <v>460102198807282724</v>
      </c>
      <c r="L3228">
        <v>4290</v>
      </c>
      <c r="M3228" t="s">
        <v>3784</v>
      </c>
      <c r="O3228" t="str">
        <f>"460102198807282724"</f>
        <v>460102198807282724</v>
      </c>
    </row>
    <row r="3229" customFormat="1" spans="1:15">
      <c r="A3229">
        <v>4291</v>
      </c>
      <c r="B3229" t="s">
        <v>3785</v>
      </c>
      <c r="C3229" t="str">
        <f>"460032199007206202"</f>
        <v>460032199007206202</v>
      </c>
      <c r="D3229" t="str">
        <f>"248030200706"</f>
        <v>248030200706</v>
      </c>
      <c r="L3229">
        <v>4291</v>
      </c>
      <c r="M3229" t="s">
        <v>3785</v>
      </c>
      <c r="N3229" t="str">
        <f>"248030200706"</f>
        <v>248030200706</v>
      </c>
      <c r="O3229" t="str">
        <f>"460032199007206202"</f>
        <v>460032199007206202</v>
      </c>
    </row>
    <row r="3230" customFormat="1" spans="1:15">
      <c r="A3230">
        <v>4292</v>
      </c>
      <c r="B3230" t="s">
        <v>3786</v>
      </c>
      <c r="C3230" t="str">
        <f>"469005200112131526"</f>
        <v>469005200112131526</v>
      </c>
      <c r="D3230" t="str">
        <f>"248030101710"</f>
        <v>248030101710</v>
      </c>
      <c r="L3230">
        <v>4292</v>
      </c>
      <c r="M3230" t="s">
        <v>3786</v>
      </c>
      <c r="N3230" t="str">
        <f>"248030101710"</f>
        <v>248030101710</v>
      </c>
      <c r="O3230" t="str">
        <f>"469005200112131526"</f>
        <v>469005200112131526</v>
      </c>
    </row>
    <row r="3231" customFormat="1" spans="1:15">
      <c r="A3231">
        <v>4293</v>
      </c>
      <c r="B3231" t="s">
        <v>3787</v>
      </c>
      <c r="C3231" t="str">
        <f>"460028200108060020"</f>
        <v>460028200108060020</v>
      </c>
      <c r="L3231">
        <v>4293</v>
      </c>
      <c r="M3231" t="s">
        <v>3787</v>
      </c>
      <c r="O3231" t="str">
        <f>"460028200108060020"</f>
        <v>460028200108060020</v>
      </c>
    </row>
    <row r="3232" customFormat="1" spans="1:15">
      <c r="A3232">
        <v>4294</v>
      </c>
      <c r="B3232" t="s">
        <v>3788</v>
      </c>
      <c r="C3232" t="str">
        <f>"460007199706180842"</f>
        <v>460007199706180842</v>
      </c>
      <c r="D3232" t="str">
        <f>"248030302607"</f>
        <v>248030302607</v>
      </c>
      <c r="L3232">
        <v>4294</v>
      </c>
      <c r="M3232" t="s">
        <v>3788</v>
      </c>
      <c r="N3232" t="str">
        <f>"248030302607"</f>
        <v>248030302607</v>
      </c>
      <c r="O3232" t="str">
        <f>"460007199706180842"</f>
        <v>460007199706180842</v>
      </c>
    </row>
    <row r="3233" customFormat="1" spans="1:15">
      <c r="A3233">
        <v>4296</v>
      </c>
      <c r="B3233" t="s">
        <v>3789</v>
      </c>
      <c r="C3233" t="str">
        <f>"460005199810251214"</f>
        <v>460005199810251214</v>
      </c>
      <c r="D3233" t="str">
        <f>"248030501013"</f>
        <v>248030501013</v>
      </c>
      <c r="L3233">
        <v>4296</v>
      </c>
      <c r="M3233" t="s">
        <v>3789</v>
      </c>
      <c r="N3233" t="str">
        <f>"248030501013"</f>
        <v>248030501013</v>
      </c>
      <c r="O3233" t="str">
        <f>"460005199810251214"</f>
        <v>460005199810251214</v>
      </c>
    </row>
    <row r="3234" customFormat="1" spans="1:15">
      <c r="A3234">
        <v>4297</v>
      </c>
      <c r="B3234" t="s">
        <v>3790</v>
      </c>
      <c r="C3234" t="str">
        <f>"460102199712271226"</f>
        <v>460102199712271226</v>
      </c>
      <c r="D3234" t="str">
        <f>"248030502210"</f>
        <v>248030502210</v>
      </c>
      <c r="L3234">
        <v>4297</v>
      </c>
      <c r="M3234" t="s">
        <v>3790</v>
      </c>
      <c r="N3234" t="str">
        <f>"248030502210"</f>
        <v>248030502210</v>
      </c>
      <c r="O3234" t="str">
        <f>"460102199712271226"</f>
        <v>460102199712271226</v>
      </c>
    </row>
    <row r="3235" customFormat="1" spans="1:15">
      <c r="A3235">
        <v>4298</v>
      </c>
      <c r="B3235" t="s">
        <v>3791</v>
      </c>
      <c r="C3235" t="str">
        <f>"460106199901083422"</f>
        <v>460106199901083422</v>
      </c>
      <c r="L3235">
        <v>4298</v>
      </c>
      <c r="M3235" t="s">
        <v>3791</v>
      </c>
      <c r="O3235" t="str">
        <f>"460106199901083422"</f>
        <v>460106199901083422</v>
      </c>
    </row>
    <row r="3236" customFormat="1" spans="1:15">
      <c r="A3236">
        <v>4299</v>
      </c>
      <c r="B3236" t="s">
        <v>3792</v>
      </c>
      <c r="C3236" t="str">
        <f>"469027199610044209"</f>
        <v>469027199610044209</v>
      </c>
      <c r="L3236">
        <v>4299</v>
      </c>
      <c r="M3236" t="s">
        <v>3792</v>
      </c>
      <c r="O3236" t="str">
        <f>"469027199610044209"</f>
        <v>469027199610044209</v>
      </c>
    </row>
    <row r="3237" customFormat="1" spans="1:15">
      <c r="A3237">
        <v>4300</v>
      </c>
      <c r="B3237" t="s">
        <v>3793</v>
      </c>
      <c r="C3237" t="str">
        <f>"410183199803100026"</f>
        <v>410183199803100026</v>
      </c>
      <c r="D3237" t="str">
        <f>"248030202914"</f>
        <v>248030202914</v>
      </c>
      <c r="L3237">
        <v>4300</v>
      </c>
      <c r="M3237" t="s">
        <v>3793</v>
      </c>
      <c r="N3237" t="str">
        <f>"248030202914"</f>
        <v>248030202914</v>
      </c>
      <c r="O3237" t="str">
        <f>"410183199803100026"</f>
        <v>410183199803100026</v>
      </c>
    </row>
    <row r="3238" customFormat="1" spans="1:15">
      <c r="A3238">
        <v>4301</v>
      </c>
      <c r="B3238" t="s">
        <v>216</v>
      </c>
      <c r="C3238" t="str">
        <f>"460104199611210320"</f>
        <v>460104199611210320</v>
      </c>
      <c r="L3238">
        <v>4301</v>
      </c>
      <c r="M3238" t="s">
        <v>216</v>
      </c>
      <c r="O3238" t="str">
        <f>"460104199611210320"</f>
        <v>460104199611210320</v>
      </c>
    </row>
    <row r="3239" customFormat="1" spans="1:15">
      <c r="A3239">
        <v>4302</v>
      </c>
      <c r="B3239" t="s">
        <v>3794</v>
      </c>
      <c r="C3239" t="str">
        <f>"460003199502272221"</f>
        <v>460003199502272221</v>
      </c>
      <c r="D3239" t="str">
        <f>"248030300507"</f>
        <v>248030300507</v>
      </c>
      <c r="L3239">
        <v>4302</v>
      </c>
      <c r="M3239" t="s">
        <v>3794</v>
      </c>
      <c r="N3239" t="str">
        <f>"248030300507"</f>
        <v>248030300507</v>
      </c>
      <c r="O3239" t="str">
        <f>"460003199502272221"</f>
        <v>460003199502272221</v>
      </c>
    </row>
    <row r="3240" customFormat="1" spans="1:15">
      <c r="A3240">
        <v>4303</v>
      </c>
      <c r="B3240" t="s">
        <v>3795</v>
      </c>
      <c r="C3240" t="str">
        <f>"460031199711250024"</f>
        <v>460031199711250024</v>
      </c>
      <c r="D3240" t="str">
        <f>"248030501913"</f>
        <v>248030501913</v>
      </c>
      <c r="L3240">
        <v>4303</v>
      </c>
      <c r="M3240" t="s">
        <v>3795</v>
      </c>
      <c r="N3240" t="str">
        <f>"248030501913"</f>
        <v>248030501913</v>
      </c>
      <c r="O3240" t="str">
        <f>"460031199711250024"</f>
        <v>460031199711250024</v>
      </c>
    </row>
    <row r="3241" customFormat="1" spans="1:15">
      <c r="A3241">
        <v>4304</v>
      </c>
      <c r="B3241" t="s">
        <v>3796</v>
      </c>
      <c r="C3241" t="str">
        <f>"469005200006261220"</f>
        <v>469005200006261220</v>
      </c>
      <c r="L3241">
        <v>4304</v>
      </c>
      <c r="M3241" t="s">
        <v>3796</v>
      </c>
      <c r="O3241" t="str">
        <f>"469005200006261220"</f>
        <v>469005200006261220</v>
      </c>
    </row>
    <row r="3242" customFormat="1" spans="1:15">
      <c r="A3242">
        <v>4305</v>
      </c>
      <c r="B3242" t="s">
        <v>3797</v>
      </c>
      <c r="C3242" t="str">
        <f>"460028200204175223"</f>
        <v>460028200204175223</v>
      </c>
      <c r="D3242" t="str">
        <f>"248030502915"</f>
        <v>248030502915</v>
      </c>
      <c r="L3242">
        <v>4305</v>
      </c>
      <c r="M3242" t="s">
        <v>3797</v>
      </c>
      <c r="N3242" t="str">
        <f>"248030502915"</f>
        <v>248030502915</v>
      </c>
      <c r="O3242" t="str">
        <f>"460028200204175223"</f>
        <v>460028200204175223</v>
      </c>
    </row>
    <row r="3243" customFormat="1" spans="1:15">
      <c r="A3243">
        <v>4306</v>
      </c>
      <c r="B3243" t="s">
        <v>3798</v>
      </c>
      <c r="C3243" t="str">
        <f>"46000719990502042X"</f>
        <v>46000719990502042X</v>
      </c>
      <c r="D3243" t="str">
        <f>"248030103005"</f>
        <v>248030103005</v>
      </c>
      <c r="L3243">
        <v>4306</v>
      </c>
      <c r="M3243" t="s">
        <v>3798</v>
      </c>
      <c r="N3243" t="str">
        <f>"248030103005"</f>
        <v>248030103005</v>
      </c>
      <c r="O3243" t="str">
        <f>"46000719990502042X"</f>
        <v>46000719990502042X</v>
      </c>
    </row>
    <row r="3244" customFormat="1" spans="1:15">
      <c r="A3244">
        <v>4308</v>
      </c>
      <c r="B3244" t="s">
        <v>3799</v>
      </c>
      <c r="C3244" t="str">
        <f>"360403199707010944"</f>
        <v>360403199707010944</v>
      </c>
      <c r="D3244" t="str">
        <f>"248030203129"</f>
        <v>248030203129</v>
      </c>
      <c r="L3244">
        <v>4308</v>
      </c>
      <c r="M3244" t="s">
        <v>3799</v>
      </c>
      <c r="N3244" t="str">
        <f>"248030203129"</f>
        <v>248030203129</v>
      </c>
      <c r="O3244" t="str">
        <f>"360403199707010944"</f>
        <v>360403199707010944</v>
      </c>
    </row>
    <row r="3245" customFormat="1" spans="1:15">
      <c r="A3245">
        <v>4309</v>
      </c>
      <c r="B3245" t="s">
        <v>3800</v>
      </c>
      <c r="C3245" t="str">
        <f>"460003199908266622"</f>
        <v>460003199908266622</v>
      </c>
      <c r="D3245" t="str">
        <f>"248030104630"</f>
        <v>248030104630</v>
      </c>
      <c r="L3245">
        <v>4309</v>
      </c>
      <c r="M3245" t="s">
        <v>3800</v>
      </c>
      <c r="N3245" t="str">
        <f>"248030104630"</f>
        <v>248030104630</v>
      </c>
      <c r="O3245" t="str">
        <f>"460003199908266622"</f>
        <v>460003199908266622</v>
      </c>
    </row>
    <row r="3246" customFormat="1" spans="1:15">
      <c r="A3246">
        <v>4310</v>
      </c>
      <c r="B3246" t="s">
        <v>3801</v>
      </c>
      <c r="C3246" t="str">
        <f>"410711200007271568"</f>
        <v>410711200007271568</v>
      </c>
      <c r="D3246" t="str">
        <f>"248030202627"</f>
        <v>248030202627</v>
      </c>
      <c r="L3246">
        <v>4310</v>
      </c>
      <c r="M3246" t="s">
        <v>3801</v>
      </c>
      <c r="N3246" t="str">
        <f>"248030202627"</f>
        <v>248030202627</v>
      </c>
      <c r="O3246" t="str">
        <f>"410711200007271568"</f>
        <v>410711200007271568</v>
      </c>
    </row>
    <row r="3247" customFormat="1" spans="1:15">
      <c r="A3247">
        <v>4311</v>
      </c>
      <c r="B3247" t="s">
        <v>548</v>
      </c>
      <c r="C3247" t="str">
        <f>"460104200007180925"</f>
        <v>460104200007180925</v>
      </c>
      <c r="D3247" t="str">
        <f>"248030203602"</f>
        <v>248030203602</v>
      </c>
      <c r="L3247">
        <v>4311</v>
      </c>
      <c r="M3247" t="s">
        <v>548</v>
      </c>
      <c r="N3247" t="str">
        <f>"248030203602"</f>
        <v>248030203602</v>
      </c>
      <c r="O3247" t="str">
        <f>"460104200007180925"</f>
        <v>460104200007180925</v>
      </c>
    </row>
    <row r="3248" customFormat="1" spans="1:15">
      <c r="A3248">
        <v>4312</v>
      </c>
      <c r="B3248" t="s">
        <v>3802</v>
      </c>
      <c r="C3248" t="str">
        <f>"320826199910270046"</f>
        <v>320826199910270046</v>
      </c>
      <c r="L3248">
        <v>4312</v>
      </c>
      <c r="M3248" t="s">
        <v>3802</v>
      </c>
      <c r="O3248" t="str">
        <f>"320826199910270046"</f>
        <v>320826199910270046</v>
      </c>
    </row>
    <row r="3249" customFormat="1" spans="1:15">
      <c r="A3249">
        <v>4313</v>
      </c>
      <c r="B3249" t="s">
        <v>3803</v>
      </c>
      <c r="C3249" t="str">
        <f>"460006199508180626"</f>
        <v>460006199508180626</v>
      </c>
      <c r="D3249" t="str">
        <f>"248030500220"</f>
        <v>248030500220</v>
      </c>
      <c r="L3249">
        <v>4313</v>
      </c>
      <c r="M3249" t="s">
        <v>3803</v>
      </c>
      <c r="N3249" t="str">
        <f>"248030500220"</f>
        <v>248030500220</v>
      </c>
      <c r="O3249" t="str">
        <f>"460006199508180626"</f>
        <v>460006199508180626</v>
      </c>
    </row>
    <row r="3250" customFormat="1" spans="1:15">
      <c r="A3250">
        <v>4315</v>
      </c>
      <c r="B3250" t="s">
        <v>3804</v>
      </c>
      <c r="C3250" t="str">
        <f>"460027200002084722"</f>
        <v>460027200002084722</v>
      </c>
      <c r="D3250" t="str">
        <f>"248030500422"</f>
        <v>248030500422</v>
      </c>
      <c r="L3250">
        <v>4315</v>
      </c>
      <c r="M3250" t="s">
        <v>3804</v>
      </c>
      <c r="N3250" t="str">
        <f>"248030500422"</f>
        <v>248030500422</v>
      </c>
      <c r="O3250" t="str">
        <f>"460027200002084722"</f>
        <v>460027200002084722</v>
      </c>
    </row>
    <row r="3251" customFormat="1" spans="1:15">
      <c r="A3251">
        <v>4316</v>
      </c>
      <c r="B3251" t="s">
        <v>3805</v>
      </c>
      <c r="C3251" t="str">
        <f>"230603200111122141"</f>
        <v>230603200111122141</v>
      </c>
      <c r="D3251" t="str">
        <f>"248030101225"</f>
        <v>248030101225</v>
      </c>
      <c r="L3251">
        <v>4316</v>
      </c>
      <c r="M3251" t="s">
        <v>3805</v>
      </c>
      <c r="N3251" t="str">
        <f>"248030101225"</f>
        <v>248030101225</v>
      </c>
      <c r="O3251" t="str">
        <f>"230603200111122141"</f>
        <v>230603200111122141</v>
      </c>
    </row>
    <row r="3252" customFormat="1" spans="1:15">
      <c r="A3252">
        <v>4317</v>
      </c>
      <c r="B3252" t="s">
        <v>3806</v>
      </c>
      <c r="C3252" t="str">
        <f>"460033199602286581"</f>
        <v>460033199602286581</v>
      </c>
      <c r="L3252">
        <v>4317</v>
      </c>
      <c r="M3252" t="s">
        <v>3806</v>
      </c>
      <c r="O3252" t="str">
        <f>"460033199602286581"</f>
        <v>460033199602286581</v>
      </c>
    </row>
    <row r="3253" customFormat="1" spans="1:15">
      <c r="A3253">
        <v>4318</v>
      </c>
      <c r="B3253" t="s">
        <v>3807</v>
      </c>
      <c r="C3253" t="str">
        <f>"46000620020430682X"</f>
        <v>46000620020430682X</v>
      </c>
      <c r="D3253" t="str">
        <f>"248030102926"</f>
        <v>248030102926</v>
      </c>
      <c r="L3253">
        <v>4318</v>
      </c>
      <c r="M3253" t="s">
        <v>3807</v>
      </c>
      <c r="N3253" t="str">
        <f>"248030102926"</f>
        <v>248030102926</v>
      </c>
      <c r="O3253" t="str">
        <f>"46000620020430682X"</f>
        <v>46000620020430682X</v>
      </c>
    </row>
    <row r="3254" customFormat="1" spans="1:15">
      <c r="A3254">
        <v>4319</v>
      </c>
      <c r="B3254" t="s">
        <v>3808</v>
      </c>
      <c r="C3254" t="str">
        <f>"520203199712010868"</f>
        <v>520203199712010868</v>
      </c>
      <c r="D3254" t="str">
        <f>"248030503730"</f>
        <v>248030503730</v>
      </c>
      <c r="L3254">
        <v>4319</v>
      </c>
      <c r="M3254" t="s">
        <v>3808</v>
      </c>
      <c r="N3254" t="str">
        <f>"248030503730"</f>
        <v>248030503730</v>
      </c>
      <c r="O3254" t="str">
        <f>"520203199712010868"</f>
        <v>520203199712010868</v>
      </c>
    </row>
    <row r="3255" customFormat="1" spans="1:15">
      <c r="A3255">
        <v>4320</v>
      </c>
      <c r="B3255" t="s">
        <v>3809</v>
      </c>
      <c r="C3255" t="str">
        <f>"460004199206110013"</f>
        <v>460004199206110013</v>
      </c>
      <c r="L3255">
        <v>4320</v>
      </c>
      <c r="M3255" t="s">
        <v>3809</v>
      </c>
      <c r="O3255" t="str">
        <f>"460004199206110013"</f>
        <v>460004199206110013</v>
      </c>
    </row>
    <row r="3256" customFormat="1" spans="1:15">
      <c r="A3256">
        <v>4321</v>
      </c>
      <c r="B3256" t="s">
        <v>3810</v>
      </c>
      <c r="C3256" t="str">
        <f>"232326200107025648"</f>
        <v>232326200107025648</v>
      </c>
      <c r="D3256" t="str">
        <f>"248030500509"</f>
        <v>248030500509</v>
      </c>
      <c r="L3256">
        <v>4321</v>
      </c>
      <c r="M3256" t="s">
        <v>3810</v>
      </c>
      <c r="N3256" t="str">
        <f>"248030500509"</f>
        <v>248030500509</v>
      </c>
      <c r="O3256" t="str">
        <f>"232326200107025648"</f>
        <v>232326200107025648</v>
      </c>
    </row>
    <row r="3257" customFormat="1" spans="1:15">
      <c r="A3257">
        <v>4323</v>
      </c>
      <c r="B3257" t="s">
        <v>3811</v>
      </c>
      <c r="C3257" t="str">
        <f>"140481199909076456"</f>
        <v>140481199909076456</v>
      </c>
      <c r="D3257" t="str">
        <f>"248030201825"</f>
        <v>248030201825</v>
      </c>
      <c r="L3257">
        <v>4323</v>
      </c>
      <c r="M3257" t="s">
        <v>3811</v>
      </c>
      <c r="N3257" t="str">
        <f>"248030201825"</f>
        <v>248030201825</v>
      </c>
      <c r="O3257" t="str">
        <f>"140481199909076456"</f>
        <v>140481199909076456</v>
      </c>
    </row>
    <row r="3258" customFormat="1" spans="1:15">
      <c r="A3258">
        <v>4324</v>
      </c>
      <c r="B3258" t="s">
        <v>3812</v>
      </c>
      <c r="C3258" t="str">
        <f>"460007200111255783"</f>
        <v>460007200111255783</v>
      </c>
      <c r="D3258" t="str">
        <f>"248030501829"</f>
        <v>248030501829</v>
      </c>
      <c r="L3258">
        <v>4324</v>
      </c>
      <c r="M3258" t="s">
        <v>3812</v>
      </c>
      <c r="N3258" t="str">
        <f>"248030501829"</f>
        <v>248030501829</v>
      </c>
      <c r="O3258" t="str">
        <f>"460007200111255783"</f>
        <v>460007200111255783</v>
      </c>
    </row>
    <row r="3259" customFormat="1" spans="1:15">
      <c r="A3259">
        <v>4325</v>
      </c>
      <c r="B3259" t="s">
        <v>3813</v>
      </c>
      <c r="C3259" t="str">
        <f>"460007200205103369"</f>
        <v>460007200205103369</v>
      </c>
      <c r="D3259" t="str">
        <f>"248030400304"</f>
        <v>248030400304</v>
      </c>
      <c r="L3259">
        <v>4325</v>
      </c>
      <c r="M3259" t="s">
        <v>3813</v>
      </c>
      <c r="N3259" t="str">
        <f>"248030400304"</f>
        <v>248030400304</v>
      </c>
      <c r="O3259" t="str">
        <f>"460007200205103369"</f>
        <v>460007200205103369</v>
      </c>
    </row>
    <row r="3260" customFormat="1" spans="1:15">
      <c r="A3260">
        <v>4326</v>
      </c>
      <c r="B3260" t="s">
        <v>3814</v>
      </c>
      <c r="C3260" t="str">
        <f>"460003199603043065"</f>
        <v>460003199603043065</v>
      </c>
      <c r="L3260">
        <v>4326</v>
      </c>
      <c r="M3260" t="s">
        <v>3814</v>
      </c>
      <c r="O3260" t="str">
        <f>"460003199603043065"</f>
        <v>460003199603043065</v>
      </c>
    </row>
    <row r="3261" customFormat="1" spans="1:15">
      <c r="A3261">
        <v>4327</v>
      </c>
      <c r="B3261" t="s">
        <v>3815</v>
      </c>
      <c r="C3261" t="str">
        <f>"430382199902040565"</f>
        <v>430382199902040565</v>
      </c>
      <c r="D3261" t="str">
        <f>"248030502520"</f>
        <v>248030502520</v>
      </c>
      <c r="L3261">
        <v>4327</v>
      </c>
      <c r="M3261" t="s">
        <v>3815</v>
      </c>
      <c r="N3261" t="str">
        <f>"248030502520"</f>
        <v>248030502520</v>
      </c>
      <c r="O3261" t="str">
        <f>"430382199902040565"</f>
        <v>430382199902040565</v>
      </c>
    </row>
    <row r="3262" customFormat="1" spans="1:15">
      <c r="A3262">
        <v>4328</v>
      </c>
      <c r="B3262" t="s">
        <v>3816</v>
      </c>
      <c r="C3262" t="str">
        <f>"46000320020827466X"</f>
        <v>46000320020827466X</v>
      </c>
      <c r="D3262" t="str">
        <f>"248030202925"</f>
        <v>248030202925</v>
      </c>
      <c r="L3262">
        <v>4328</v>
      </c>
      <c r="M3262" t="s">
        <v>3816</v>
      </c>
      <c r="N3262" t="str">
        <f>"248030202925"</f>
        <v>248030202925</v>
      </c>
      <c r="O3262" t="str">
        <f>"46000320020827466X"</f>
        <v>46000320020827466X</v>
      </c>
    </row>
    <row r="3263" customFormat="1" spans="1:15">
      <c r="A3263">
        <v>4329</v>
      </c>
      <c r="B3263" t="s">
        <v>816</v>
      </c>
      <c r="C3263" t="str">
        <f>"460102200110061526"</f>
        <v>460102200110061526</v>
      </c>
      <c r="D3263" t="str">
        <f>"248030402701"</f>
        <v>248030402701</v>
      </c>
      <c r="L3263">
        <v>4329</v>
      </c>
      <c r="M3263" t="s">
        <v>816</v>
      </c>
      <c r="N3263" t="str">
        <f>"248030402701"</f>
        <v>248030402701</v>
      </c>
      <c r="O3263" t="str">
        <f>"460102200110061526"</f>
        <v>460102200110061526</v>
      </c>
    </row>
    <row r="3264" customFormat="1" spans="1:15">
      <c r="A3264">
        <v>4330</v>
      </c>
      <c r="B3264" t="s">
        <v>3817</v>
      </c>
      <c r="C3264" t="str">
        <f>"460004200201211427"</f>
        <v>460004200201211427</v>
      </c>
      <c r="D3264" t="str">
        <f>"248030302428"</f>
        <v>248030302428</v>
      </c>
      <c r="L3264">
        <v>4330</v>
      </c>
      <c r="M3264" t="s">
        <v>3817</v>
      </c>
      <c r="N3264" t="str">
        <f>"248030302428"</f>
        <v>248030302428</v>
      </c>
      <c r="O3264" t="str">
        <f>"460004200201211427"</f>
        <v>460004200201211427</v>
      </c>
    </row>
    <row r="3265" customFormat="1" spans="1:15">
      <c r="A3265">
        <v>4331</v>
      </c>
      <c r="B3265" t="s">
        <v>3818</v>
      </c>
      <c r="C3265" t="str">
        <f>"460006200106170914"</f>
        <v>460006200106170914</v>
      </c>
      <c r="D3265" t="str">
        <f>"248030201711"</f>
        <v>248030201711</v>
      </c>
      <c r="L3265">
        <v>4331</v>
      </c>
      <c r="M3265" t="s">
        <v>3818</v>
      </c>
      <c r="N3265" t="str">
        <f>"248030201711"</f>
        <v>248030201711</v>
      </c>
      <c r="O3265" t="str">
        <f>"460006200106170914"</f>
        <v>460006200106170914</v>
      </c>
    </row>
    <row r="3266" customFormat="1" spans="1:15">
      <c r="A3266">
        <v>4332</v>
      </c>
      <c r="B3266" t="s">
        <v>3819</v>
      </c>
      <c r="C3266" t="str">
        <f>"460028199711190027"</f>
        <v>460028199711190027</v>
      </c>
      <c r="D3266" t="str">
        <f>"248030103310"</f>
        <v>248030103310</v>
      </c>
      <c r="L3266">
        <v>4332</v>
      </c>
      <c r="M3266" t="s">
        <v>3819</v>
      </c>
      <c r="N3266" t="str">
        <f>"248030103310"</f>
        <v>248030103310</v>
      </c>
      <c r="O3266" t="str">
        <f>"460028199711190027"</f>
        <v>460028199711190027</v>
      </c>
    </row>
    <row r="3267" customFormat="1" spans="1:15">
      <c r="A3267">
        <v>4333</v>
      </c>
      <c r="B3267" t="s">
        <v>3820</v>
      </c>
      <c r="C3267" t="str">
        <f>"460103199405103624"</f>
        <v>460103199405103624</v>
      </c>
      <c r="L3267">
        <v>4333</v>
      </c>
      <c r="M3267" t="s">
        <v>3820</v>
      </c>
      <c r="O3267" t="str">
        <f>"460103199405103624"</f>
        <v>460103199405103624</v>
      </c>
    </row>
    <row r="3268" customFormat="1" spans="1:15">
      <c r="A3268">
        <v>4334</v>
      </c>
      <c r="B3268" t="s">
        <v>3821</v>
      </c>
      <c r="C3268" t="str">
        <f>"460028199306042426"</f>
        <v>460028199306042426</v>
      </c>
      <c r="D3268" t="str">
        <f>"248030502203"</f>
        <v>248030502203</v>
      </c>
      <c r="L3268">
        <v>4334</v>
      </c>
      <c r="M3268" t="s">
        <v>3821</v>
      </c>
      <c r="N3268" t="str">
        <f>"248030502203"</f>
        <v>248030502203</v>
      </c>
      <c r="O3268" t="str">
        <f>"460028199306042426"</f>
        <v>460028199306042426</v>
      </c>
    </row>
    <row r="3269" customFormat="1" spans="1:15">
      <c r="A3269">
        <v>4335</v>
      </c>
      <c r="B3269" t="s">
        <v>3822</v>
      </c>
      <c r="C3269" t="str">
        <f>"210411198801114160"</f>
        <v>210411198801114160</v>
      </c>
      <c r="L3269">
        <v>4335</v>
      </c>
      <c r="M3269" t="s">
        <v>3822</v>
      </c>
      <c r="O3269" t="str">
        <f>"210411198801114160"</f>
        <v>210411198801114160</v>
      </c>
    </row>
    <row r="3270" customFormat="1" spans="1:15">
      <c r="A3270">
        <v>4336</v>
      </c>
      <c r="B3270" t="s">
        <v>3823</v>
      </c>
      <c r="C3270" t="str">
        <f>"460003200209187218"</f>
        <v>460003200209187218</v>
      </c>
      <c r="D3270" t="str">
        <f>"248030200509"</f>
        <v>248030200509</v>
      </c>
      <c r="L3270">
        <v>4336</v>
      </c>
      <c r="M3270" t="s">
        <v>3823</v>
      </c>
      <c r="N3270" t="str">
        <f>"248030200509"</f>
        <v>248030200509</v>
      </c>
      <c r="O3270" t="str">
        <f>"460003200209187218"</f>
        <v>460003200209187218</v>
      </c>
    </row>
    <row r="3271" customFormat="1" spans="1:15">
      <c r="A3271">
        <v>4337</v>
      </c>
      <c r="B3271" t="s">
        <v>3824</v>
      </c>
      <c r="C3271" t="str">
        <f>"341321200005010034"</f>
        <v>341321200005010034</v>
      </c>
      <c r="D3271" t="str">
        <f>"248030103420"</f>
        <v>248030103420</v>
      </c>
      <c r="L3271">
        <v>4337</v>
      </c>
      <c r="M3271" t="s">
        <v>3824</v>
      </c>
      <c r="N3271" t="str">
        <f>"248030103420"</f>
        <v>248030103420</v>
      </c>
      <c r="O3271" t="str">
        <f>"341321200005010034"</f>
        <v>341321200005010034</v>
      </c>
    </row>
    <row r="3272" customFormat="1" spans="1:15">
      <c r="A3272">
        <v>4338</v>
      </c>
      <c r="B3272" t="s">
        <v>3825</v>
      </c>
      <c r="C3272" t="str">
        <f>"460103200112291268"</f>
        <v>460103200112291268</v>
      </c>
      <c r="D3272" t="str">
        <f>"248030302109"</f>
        <v>248030302109</v>
      </c>
      <c r="L3272">
        <v>4338</v>
      </c>
      <c r="M3272" t="s">
        <v>3825</v>
      </c>
      <c r="N3272" t="str">
        <f>"248030302109"</f>
        <v>248030302109</v>
      </c>
      <c r="O3272" t="str">
        <f>"460103200112291268"</f>
        <v>460103200112291268</v>
      </c>
    </row>
    <row r="3273" customFormat="1" spans="1:15">
      <c r="A3273">
        <v>4340</v>
      </c>
      <c r="B3273" t="s">
        <v>3826</v>
      </c>
      <c r="C3273" t="str">
        <f>"460025199704122166"</f>
        <v>460025199704122166</v>
      </c>
      <c r="D3273" t="str">
        <f>"248030503213"</f>
        <v>248030503213</v>
      </c>
      <c r="L3273">
        <v>4340</v>
      </c>
      <c r="M3273" t="s">
        <v>3826</v>
      </c>
      <c r="N3273" t="str">
        <f>"248030503213"</f>
        <v>248030503213</v>
      </c>
      <c r="O3273" t="str">
        <f>"460025199704122166"</f>
        <v>460025199704122166</v>
      </c>
    </row>
    <row r="3274" customFormat="1" spans="1:15">
      <c r="A3274">
        <v>4341</v>
      </c>
      <c r="B3274" t="s">
        <v>3827</v>
      </c>
      <c r="C3274" t="str">
        <f>"460027199810060643"</f>
        <v>460027199810060643</v>
      </c>
      <c r="D3274" t="str">
        <f>"248030104121"</f>
        <v>248030104121</v>
      </c>
      <c r="L3274">
        <v>4341</v>
      </c>
      <c r="M3274" t="s">
        <v>3827</v>
      </c>
      <c r="N3274" t="str">
        <f>"248030104121"</f>
        <v>248030104121</v>
      </c>
      <c r="O3274" t="str">
        <f>"460027199810060643"</f>
        <v>460027199810060643</v>
      </c>
    </row>
    <row r="3275" customFormat="1" spans="1:15">
      <c r="A3275">
        <v>4342</v>
      </c>
      <c r="B3275" t="s">
        <v>3828</v>
      </c>
      <c r="C3275" t="str">
        <f>"460003200302177225"</f>
        <v>460003200302177225</v>
      </c>
      <c r="D3275" t="str">
        <f>"248030103808"</f>
        <v>248030103808</v>
      </c>
      <c r="L3275">
        <v>4342</v>
      </c>
      <c r="M3275" t="s">
        <v>3828</v>
      </c>
      <c r="N3275" t="str">
        <f>"248030103808"</f>
        <v>248030103808</v>
      </c>
      <c r="O3275" t="str">
        <f>"460003200302177225"</f>
        <v>460003200302177225</v>
      </c>
    </row>
    <row r="3276" customFormat="1" spans="1:15">
      <c r="A3276">
        <v>4343</v>
      </c>
      <c r="B3276" t="s">
        <v>3829</v>
      </c>
      <c r="C3276" t="str">
        <f>"460006200005194626"</f>
        <v>460006200005194626</v>
      </c>
      <c r="D3276" t="str">
        <f>"248030101711"</f>
        <v>248030101711</v>
      </c>
      <c r="L3276">
        <v>4343</v>
      </c>
      <c r="M3276" t="s">
        <v>3829</v>
      </c>
      <c r="N3276" t="str">
        <f>"248030101711"</f>
        <v>248030101711</v>
      </c>
      <c r="O3276" t="str">
        <f>"460006200005194626"</f>
        <v>460006200005194626</v>
      </c>
    </row>
    <row r="3277" customFormat="1" spans="1:15">
      <c r="A3277">
        <v>4344</v>
      </c>
      <c r="B3277" t="s">
        <v>3830</v>
      </c>
      <c r="C3277" t="str">
        <f>"460034199604082116"</f>
        <v>460034199604082116</v>
      </c>
      <c r="D3277" t="str">
        <f>"248030302415"</f>
        <v>248030302415</v>
      </c>
      <c r="L3277">
        <v>4344</v>
      </c>
      <c r="M3277" t="s">
        <v>3830</v>
      </c>
      <c r="N3277" t="str">
        <f>"248030302415"</f>
        <v>248030302415</v>
      </c>
      <c r="O3277" t="str">
        <f>"460034199604082116"</f>
        <v>460034199604082116</v>
      </c>
    </row>
    <row r="3278" customFormat="1" spans="1:15">
      <c r="A3278">
        <v>4345</v>
      </c>
      <c r="B3278" t="s">
        <v>3831</v>
      </c>
      <c r="C3278" t="str">
        <f>"230227199807150136"</f>
        <v>230227199807150136</v>
      </c>
      <c r="D3278" t="str">
        <f>"248030201601"</f>
        <v>248030201601</v>
      </c>
      <c r="L3278">
        <v>4345</v>
      </c>
      <c r="M3278" t="s">
        <v>3831</v>
      </c>
      <c r="N3278" t="str">
        <f>"248030201601"</f>
        <v>248030201601</v>
      </c>
      <c r="O3278" t="str">
        <f>"230227199807150136"</f>
        <v>230227199807150136</v>
      </c>
    </row>
    <row r="3279" customFormat="1" spans="1:15">
      <c r="A3279">
        <v>4347</v>
      </c>
      <c r="B3279" t="s">
        <v>3832</v>
      </c>
      <c r="C3279" t="str">
        <f>"43072419981225623X"</f>
        <v>43072419981225623X</v>
      </c>
      <c r="D3279" t="str">
        <f>"248030401018"</f>
        <v>248030401018</v>
      </c>
      <c r="L3279">
        <v>4347</v>
      </c>
      <c r="M3279" t="s">
        <v>3832</v>
      </c>
      <c r="N3279" t="str">
        <f>"248030401018"</f>
        <v>248030401018</v>
      </c>
      <c r="O3279" t="str">
        <f>"43072419981225623X"</f>
        <v>43072419981225623X</v>
      </c>
    </row>
    <row r="3280" customFormat="1" spans="1:15">
      <c r="A3280">
        <v>4348</v>
      </c>
      <c r="B3280" t="s">
        <v>3833</v>
      </c>
      <c r="C3280" t="str">
        <f>"513029199708061041"</f>
        <v>513029199708061041</v>
      </c>
      <c r="D3280" t="str">
        <f>"248030403119"</f>
        <v>248030403119</v>
      </c>
      <c r="L3280">
        <v>4348</v>
      </c>
      <c r="M3280" t="s">
        <v>3833</v>
      </c>
      <c r="N3280" t="str">
        <f>"248030403119"</f>
        <v>248030403119</v>
      </c>
      <c r="O3280" t="str">
        <f>"513029199708061041"</f>
        <v>513029199708061041</v>
      </c>
    </row>
    <row r="3281" customFormat="1" spans="1:15">
      <c r="A3281">
        <v>4349</v>
      </c>
      <c r="B3281" t="s">
        <v>3834</v>
      </c>
      <c r="C3281" t="str">
        <f>"41132719951108204X"</f>
        <v>41132719951108204X</v>
      </c>
      <c r="D3281" t="str">
        <f>"248030403604"</f>
        <v>248030403604</v>
      </c>
      <c r="L3281">
        <v>4349</v>
      </c>
      <c r="M3281" t="s">
        <v>3834</v>
      </c>
      <c r="N3281" t="str">
        <f>"248030403604"</f>
        <v>248030403604</v>
      </c>
      <c r="O3281" t="str">
        <f>"41132719951108204X"</f>
        <v>41132719951108204X</v>
      </c>
    </row>
    <row r="3282" customFormat="1" spans="1:15">
      <c r="A3282">
        <v>4350</v>
      </c>
      <c r="B3282" t="s">
        <v>3835</v>
      </c>
      <c r="C3282" t="str">
        <f>"460002198807071526"</f>
        <v>460002198807071526</v>
      </c>
      <c r="D3282" t="str">
        <f>"248030201629"</f>
        <v>248030201629</v>
      </c>
      <c r="L3282">
        <v>4350</v>
      </c>
      <c r="M3282" t="s">
        <v>3835</v>
      </c>
      <c r="N3282" t="str">
        <f>"248030201629"</f>
        <v>248030201629</v>
      </c>
      <c r="O3282" t="str">
        <f>"460002198807071526"</f>
        <v>460002198807071526</v>
      </c>
    </row>
    <row r="3283" customFormat="1" spans="1:15">
      <c r="A3283">
        <v>4351</v>
      </c>
      <c r="B3283" t="s">
        <v>3836</v>
      </c>
      <c r="C3283" t="str">
        <f>"230202199505311822"</f>
        <v>230202199505311822</v>
      </c>
      <c r="D3283" t="str">
        <f>"248030501720"</f>
        <v>248030501720</v>
      </c>
      <c r="L3283">
        <v>4351</v>
      </c>
      <c r="M3283" t="s">
        <v>3836</v>
      </c>
      <c r="N3283" t="str">
        <f>"248030501720"</f>
        <v>248030501720</v>
      </c>
      <c r="O3283" t="str">
        <f>"230202199505311822"</f>
        <v>230202199505311822</v>
      </c>
    </row>
    <row r="3284" customFormat="1" spans="1:15">
      <c r="A3284">
        <v>4353</v>
      </c>
      <c r="B3284" t="s">
        <v>3837</v>
      </c>
      <c r="C3284" t="str">
        <f>"440507199607150625"</f>
        <v>440507199607150625</v>
      </c>
      <c r="D3284" t="str">
        <f>"248030501904"</f>
        <v>248030501904</v>
      </c>
      <c r="L3284">
        <v>4353</v>
      </c>
      <c r="M3284" t="s">
        <v>3837</v>
      </c>
      <c r="N3284" t="str">
        <f>"248030501904"</f>
        <v>248030501904</v>
      </c>
      <c r="O3284" t="str">
        <f>"440507199607150625"</f>
        <v>440507199607150625</v>
      </c>
    </row>
    <row r="3285" customFormat="1" spans="1:15">
      <c r="A3285">
        <v>4354</v>
      </c>
      <c r="B3285" t="s">
        <v>3838</v>
      </c>
      <c r="C3285" t="str">
        <f>"460028200010026828"</f>
        <v>460028200010026828</v>
      </c>
      <c r="D3285" t="str">
        <f>"248030401713"</f>
        <v>248030401713</v>
      </c>
      <c r="L3285">
        <v>4354</v>
      </c>
      <c r="M3285" t="s">
        <v>3838</v>
      </c>
      <c r="N3285" t="str">
        <f>"248030401713"</f>
        <v>248030401713</v>
      </c>
      <c r="O3285" t="str">
        <f>"460028200010026828"</f>
        <v>460028200010026828</v>
      </c>
    </row>
    <row r="3286" customFormat="1" spans="1:15">
      <c r="A3286">
        <v>4355</v>
      </c>
      <c r="B3286" t="s">
        <v>3839</v>
      </c>
      <c r="C3286" t="str">
        <f>"460003199205034243"</f>
        <v>460003199205034243</v>
      </c>
      <c r="D3286" t="str">
        <f>"248030402227"</f>
        <v>248030402227</v>
      </c>
      <c r="L3286">
        <v>4355</v>
      </c>
      <c r="M3286" t="s">
        <v>3839</v>
      </c>
      <c r="N3286" t="str">
        <f>"248030402227"</f>
        <v>248030402227</v>
      </c>
      <c r="O3286" t="str">
        <f>"460003199205034243"</f>
        <v>460003199205034243</v>
      </c>
    </row>
    <row r="3287" customFormat="1" spans="1:15">
      <c r="A3287">
        <v>4356</v>
      </c>
      <c r="B3287" t="s">
        <v>3840</v>
      </c>
      <c r="C3287" t="str">
        <f>"469024200010200868"</f>
        <v>469024200010200868</v>
      </c>
      <c r="D3287" t="str">
        <f>"248030502324"</f>
        <v>248030502324</v>
      </c>
      <c r="L3287">
        <v>4356</v>
      </c>
      <c r="M3287" t="s">
        <v>3840</v>
      </c>
      <c r="N3287" t="str">
        <f>"248030502324"</f>
        <v>248030502324</v>
      </c>
      <c r="O3287" t="str">
        <f>"469024200010200868"</f>
        <v>469024200010200868</v>
      </c>
    </row>
    <row r="3288" customFormat="1" spans="1:15">
      <c r="A3288">
        <v>4357</v>
      </c>
      <c r="B3288" t="s">
        <v>3841</v>
      </c>
      <c r="C3288" t="str">
        <f>"469021200205093645"</f>
        <v>469021200205093645</v>
      </c>
      <c r="D3288" t="str">
        <f>"248030101021"</f>
        <v>248030101021</v>
      </c>
      <c r="L3288">
        <v>4357</v>
      </c>
      <c r="M3288" t="s">
        <v>3841</v>
      </c>
      <c r="N3288" t="str">
        <f>"248030101021"</f>
        <v>248030101021</v>
      </c>
      <c r="O3288" t="str">
        <f>"469021200205093645"</f>
        <v>469021200205093645</v>
      </c>
    </row>
    <row r="3289" customFormat="1" spans="1:15">
      <c r="A3289">
        <v>4358</v>
      </c>
      <c r="B3289" t="s">
        <v>3842</v>
      </c>
      <c r="C3289" t="str">
        <f>"460005200106122318"</f>
        <v>460005200106122318</v>
      </c>
      <c r="L3289">
        <v>4358</v>
      </c>
      <c r="M3289" t="s">
        <v>3842</v>
      </c>
      <c r="O3289" t="str">
        <f>"460005200106122318"</f>
        <v>460005200106122318</v>
      </c>
    </row>
    <row r="3290" customFormat="1" spans="1:15">
      <c r="A3290">
        <v>4359</v>
      </c>
      <c r="B3290" t="s">
        <v>3843</v>
      </c>
      <c r="C3290" t="str">
        <f>"460033199609043902"</f>
        <v>460033199609043902</v>
      </c>
      <c r="L3290">
        <v>4359</v>
      </c>
      <c r="M3290" t="s">
        <v>3843</v>
      </c>
      <c r="O3290" t="str">
        <f>"460033199609043902"</f>
        <v>460033199609043902</v>
      </c>
    </row>
    <row r="3291" customFormat="1" spans="1:15">
      <c r="A3291">
        <v>4360</v>
      </c>
      <c r="B3291" t="s">
        <v>3844</v>
      </c>
      <c r="C3291" t="str">
        <f>"460025200107041224"</f>
        <v>460025200107041224</v>
      </c>
      <c r="D3291" t="str">
        <f>"248030203014"</f>
        <v>248030203014</v>
      </c>
      <c r="L3291">
        <v>4360</v>
      </c>
      <c r="M3291" t="s">
        <v>3844</v>
      </c>
      <c r="N3291" t="str">
        <f>"248030203014"</f>
        <v>248030203014</v>
      </c>
      <c r="O3291" t="str">
        <f>"460025200107041224"</f>
        <v>460025200107041224</v>
      </c>
    </row>
    <row r="3292" customFormat="1" spans="1:15">
      <c r="A3292">
        <v>4361</v>
      </c>
      <c r="B3292" t="s">
        <v>3845</v>
      </c>
      <c r="C3292" t="str">
        <f>"522325199906102811"</f>
        <v>522325199906102811</v>
      </c>
      <c r="D3292" t="str">
        <f>"248030203309"</f>
        <v>248030203309</v>
      </c>
      <c r="L3292">
        <v>4361</v>
      </c>
      <c r="M3292" t="s">
        <v>3845</v>
      </c>
      <c r="N3292" t="str">
        <f>"248030203309"</f>
        <v>248030203309</v>
      </c>
      <c r="O3292" t="str">
        <f>"522325199906102811"</f>
        <v>522325199906102811</v>
      </c>
    </row>
    <row r="3293" customFormat="1" spans="1:15">
      <c r="A3293">
        <v>4362</v>
      </c>
      <c r="B3293" t="s">
        <v>3846</v>
      </c>
      <c r="C3293" t="str">
        <f>"460003199803168022"</f>
        <v>460003199803168022</v>
      </c>
      <c r="D3293" t="str">
        <f>"248030102301"</f>
        <v>248030102301</v>
      </c>
      <c r="L3293">
        <v>4362</v>
      </c>
      <c r="M3293" t="s">
        <v>3846</v>
      </c>
      <c r="N3293" t="str">
        <f>"248030102301"</f>
        <v>248030102301</v>
      </c>
      <c r="O3293" t="str">
        <f>"460003199803168022"</f>
        <v>460003199803168022</v>
      </c>
    </row>
    <row r="3294" customFormat="1" spans="1:15">
      <c r="A3294">
        <v>4364</v>
      </c>
      <c r="B3294" t="s">
        <v>3847</v>
      </c>
      <c r="C3294" t="str">
        <f>"460027199809058503"</f>
        <v>460027199809058503</v>
      </c>
      <c r="D3294" t="str">
        <f>"248030203606"</f>
        <v>248030203606</v>
      </c>
      <c r="L3294">
        <v>4364</v>
      </c>
      <c r="M3294" t="s">
        <v>3847</v>
      </c>
      <c r="N3294" t="str">
        <f>"248030203606"</f>
        <v>248030203606</v>
      </c>
      <c r="O3294" t="str">
        <f>"460027199809058503"</f>
        <v>460027199809058503</v>
      </c>
    </row>
    <row r="3295" customFormat="1" spans="1:15">
      <c r="A3295">
        <v>4365</v>
      </c>
      <c r="B3295" t="s">
        <v>3848</v>
      </c>
      <c r="C3295" t="str">
        <f>"460030199805090328"</f>
        <v>460030199805090328</v>
      </c>
      <c r="D3295" t="str">
        <f>"248030201809"</f>
        <v>248030201809</v>
      </c>
      <c r="L3295">
        <v>4365</v>
      </c>
      <c r="M3295" t="s">
        <v>3848</v>
      </c>
      <c r="N3295" t="str">
        <f>"248030201809"</f>
        <v>248030201809</v>
      </c>
      <c r="O3295" t="str">
        <f>"460030199805090328"</f>
        <v>460030199805090328</v>
      </c>
    </row>
    <row r="3296" customFormat="1" spans="1:15">
      <c r="A3296">
        <v>4366</v>
      </c>
      <c r="B3296" t="s">
        <v>3849</v>
      </c>
      <c r="C3296" t="str">
        <f>"460200200210020521"</f>
        <v>460200200210020521</v>
      </c>
      <c r="D3296" t="str">
        <f>"248030202929"</f>
        <v>248030202929</v>
      </c>
      <c r="L3296">
        <v>4366</v>
      </c>
      <c r="M3296" t="s">
        <v>3849</v>
      </c>
      <c r="N3296" t="str">
        <f>"248030202929"</f>
        <v>248030202929</v>
      </c>
      <c r="O3296" t="str">
        <f>"460200200210020521"</f>
        <v>460200200210020521</v>
      </c>
    </row>
    <row r="3297" customFormat="1" spans="1:15">
      <c r="A3297">
        <v>4367</v>
      </c>
      <c r="B3297" t="s">
        <v>3850</v>
      </c>
      <c r="C3297" t="str">
        <f>"460102198812041220"</f>
        <v>460102198812041220</v>
      </c>
      <c r="D3297" t="str">
        <f>"248030500225"</f>
        <v>248030500225</v>
      </c>
      <c r="L3297">
        <v>4367</v>
      </c>
      <c r="M3297" t="s">
        <v>3850</v>
      </c>
      <c r="N3297" t="str">
        <f>"248030500225"</f>
        <v>248030500225</v>
      </c>
      <c r="O3297" t="str">
        <f>"460102198812041220"</f>
        <v>460102198812041220</v>
      </c>
    </row>
    <row r="3298" customFormat="1" spans="1:15">
      <c r="A3298">
        <v>4369</v>
      </c>
      <c r="B3298" t="s">
        <v>3851</v>
      </c>
      <c r="C3298" t="str">
        <f>"460026199907212125"</f>
        <v>460026199907212125</v>
      </c>
      <c r="D3298" t="str">
        <f>"248030300917"</f>
        <v>248030300917</v>
      </c>
      <c r="L3298">
        <v>4369</v>
      </c>
      <c r="M3298" t="s">
        <v>3851</v>
      </c>
      <c r="N3298" t="str">
        <f>"248030300917"</f>
        <v>248030300917</v>
      </c>
      <c r="O3298" t="str">
        <f>"460026199907212125"</f>
        <v>460026199907212125</v>
      </c>
    </row>
    <row r="3299" customFormat="1" spans="1:15">
      <c r="A3299">
        <v>4370</v>
      </c>
      <c r="B3299" t="s">
        <v>3852</v>
      </c>
      <c r="C3299" t="str">
        <f>"469024199804295621"</f>
        <v>469024199804295621</v>
      </c>
      <c r="D3299" t="str">
        <f>"248030300828"</f>
        <v>248030300828</v>
      </c>
      <c r="L3299">
        <v>4370</v>
      </c>
      <c r="M3299" t="s">
        <v>3852</v>
      </c>
      <c r="N3299" t="str">
        <f>"248030300828"</f>
        <v>248030300828</v>
      </c>
      <c r="O3299" t="str">
        <f>"469024199804295621"</f>
        <v>469024199804295621</v>
      </c>
    </row>
    <row r="3300" customFormat="1" spans="1:15">
      <c r="A3300">
        <v>4371</v>
      </c>
      <c r="B3300" t="s">
        <v>3853</v>
      </c>
      <c r="C3300" t="str">
        <f>"460025198701210924"</f>
        <v>460025198701210924</v>
      </c>
      <c r="D3300" t="str">
        <f>"248030501212"</f>
        <v>248030501212</v>
      </c>
      <c r="L3300">
        <v>4371</v>
      </c>
      <c r="M3300" t="s">
        <v>3853</v>
      </c>
      <c r="N3300" t="str">
        <f>"248030501212"</f>
        <v>248030501212</v>
      </c>
      <c r="O3300" t="str">
        <f>"460025198701210924"</f>
        <v>460025198701210924</v>
      </c>
    </row>
    <row r="3301" customFormat="1" spans="1:15">
      <c r="A3301">
        <v>4372</v>
      </c>
      <c r="B3301" t="s">
        <v>3854</v>
      </c>
      <c r="C3301" t="str">
        <f>"430602199304286025"</f>
        <v>430602199304286025</v>
      </c>
      <c r="D3301" t="str">
        <f>"248030201013"</f>
        <v>248030201013</v>
      </c>
      <c r="L3301">
        <v>4372</v>
      </c>
      <c r="M3301" t="s">
        <v>3854</v>
      </c>
      <c r="N3301" t="str">
        <f>"248030201013"</f>
        <v>248030201013</v>
      </c>
      <c r="O3301" t="str">
        <f>"430602199304286025"</f>
        <v>430602199304286025</v>
      </c>
    </row>
    <row r="3302" customFormat="1" spans="1:15">
      <c r="A3302">
        <v>4373</v>
      </c>
      <c r="B3302" t="s">
        <v>3855</v>
      </c>
      <c r="C3302" t="str">
        <f>"460003199908090049"</f>
        <v>460003199908090049</v>
      </c>
      <c r="D3302" t="str">
        <f>"248030301224"</f>
        <v>248030301224</v>
      </c>
      <c r="L3302">
        <v>4373</v>
      </c>
      <c r="M3302" t="s">
        <v>3855</v>
      </c>
      <c r="N3302" t="str">
        <f>"248030301224"</f>
        <v>248030301224</v>
      </c>
      <c r="O3302" t="str">
        <f>"460003199908090049"</f>
        <v>460003199908090049</v>
      </c>
    </row>
    <row r="3303" customFormat="1" spans="1:15">
      <c r="A3303">
        <v>4374</v>
      </c>
      <c r="B3303" t="s">
        <v>3856</v>
      </c>
      <c r="C3303" t="str">
        <f>"460004199403074824"</f>
        <v>460004199403074824</v>
      </c>
      <c r="D3303" t="str">
        <f>"248030404304"</f>
        <v>248030404304</v>
      </c>
      <c r="L3303">
        <v>4374</v>
      </c>
      <c r="M3303" t="s">
        <v>3856</v>
      </c>
      <c r="N3303" t="str">
        <f>"248030404304"</f>
        <v>248030404304</v>
      </c>
      <c r="O3303" t="str">
        <f>"460004199403074824"</f>
        <v>460004199403074824</v>
      </c>
    </row>
    <row r="3304" customFormat="1" spans="1:15">
      <c r="A3304">
        <v>4375</v>
      </c>
      <c r="B3304" t="s">
        <v>3857</v>
      </c>
      <c r="C3304" t="str">
        <f>"460102200206231526"</f>
        <v>460102200206231526</v>
      </c>
      <c r="D3304" t="str">
        <f>"248030401905"</f>
        <v>248030401905</v>
      </c>
      <c r="L3304">
        <v>4375</v>
      </c>
      <c r="M3304" t="s">
        <v>3857</v>
      </c>
      <c r="N3304" t="str">
        <f>"248030401905"</f>
        <v>248030401905</v>
      </c>
      <c r="O3304" t="str">
        <f>"460102200206231526"</f>
        <v>460102200206231526</v>
      </c>
    </row>
    <row r="3305" customFormat="1" spans="1:15">
      <c r="A3305">
        <v>4376</v>
      </c>
      <c r="B3305" t="s">
        <v>3858</v>
      </c>
      <c r="C3305" t="str">
        <f>"460034200101021528"</f>
        <v>460034200101021528</v>
      </c>
      <c r="D3305" t="str">
        <f>"248030504109"</f>
        <v>248030504109</v>
      </c>
      <c r="L3305">
        <v>4376</v>
      </c>
      <c r="M3305" t="s">
        <v>3858</v>
      </c>
      <c r="N3305" t="str">
        <f>"248030504109"</f>
        <v>248030504109</v>
      </c>
      <c r="O3305" t="str">
        <f>"460034200101021528"</f>
        <v>460034200101021528</v>
      </c>
    </row>
    <row r="3306" customFormat="1" spans="1:15">
      <c r="A3306">
        <v>4377</v>
      </c>
      <c r="B3306" t="s">
        <v>3859</v>
      </c>
      <c r="C3306" t="str">
        <f>"430703200110261521"</f>
        <v>430703200110261521</v>
      </c>
      <c r="D3306" t="str">
        <f>"248030502723"</f>
        <v>248030502723</v>
      </c>
      <c r="L3306">
        <v>4377</v>
      </c>
      <c r="M3306" t="s">
        <v>3859</v>
      </c>
      <c r="N3306" t="str">
        <f>"248030502723"</f>
        <v>248030502723</v>
      </c>
      <c r="O3306" t="str">
        <f>"430703200110261521"</f>
        <v>430703200110261521</v>
      </c>
    </row>
    <row r="3307" customFormat="1" spans="1:15">
      <c r="A3307">
        <v>4378</v>
      </c>
      <c r="B3307" t="s">
        <v>3860</v>
      </c>
      <c r="C3307" t="str">
        <f>"460006200205255227"</f>
        <v>460006200205255227</v>
      </c>
      <c r="D3307" t="str">
        <f>"248030302619"</f>
        <v>248030302619</v>
      </c>
      <c r="L3307">
        <v>4378</v>
      </c>
      <c r="M3307" t="s">
        <v>3860</v>
      </c>
      <c r="N3307" t="str">
        <f>"248030302619"</f>
        <v>248030302619</v>
      </c>
      <c r="O3307" t="str">
        <f>"460006200205255227"</f>
        <v>460006200205255227</v>
      </c>
    </row>
    <row r="3308" customFormat="1" spans="1:15">
      <c r="A3308">
        <v>4379</v>
      </c>
      <c r="B3308" t="s">
        <v>3861</v>
      </c>
      <c r="C3308" t="str">
        <f>"513128199905256031"</f>
        <v>513128199905256031</v>
      </c>
      <c r="D3308" t="str">
        <f>"248030301326"</f>
        <v>248030301326</v>
      </c>
      <c r="L3308">
        <v>4379</v>
      </c>
      <c r="M3308" t="s">
        <v>3861</v>
      </c>
      <c r="N3308" t="str">
        <f>"248030301326"</f>
        <v>248030301326</v>
      </c>
      <c r="O3308" t="str">
        <f>"513128199905256031"</f>
        <v>513128199905256031</v>
      </c>
    </row>
    <row r="3309" customFormat="1" spans="1:15">
      <c r="A3309">
        <v>4381</v>
      </c>
      <c r="B3309" t="s">
        <v>3862</v>
      </c>
      <c r="C3309" t="str">
        <f>"131128200101163924"</f>
        <v>131128200101163924</v>
      </c>
      <c r="D3309" t="str">
        <f>"248030500124"</f>
        <v>248030500124</v>
      </c>
      <c r="L3309">
        <v>4381</v>
      </c>
      <c r="M3309" t="s">
        <v>3862</v>
      </c>
      <c r="N3309" t="str">
        <f>"248030500124"</f>
        <v>248030500124</v>
      </c>
      <c r="O3309" t="str">
        <f>"131128200101163924"</f>
        <v>131128200101163924</v>
      </c>
    </row>
    <row r="3310" customFormat="1" spans="1:15">
      <c r="A3310">
        <v>4382</v>
      </c>
      <c r="B3310" t="s">
        <v>3863</v>
      </c>
      <c r="C3310" t="str">
        <f>"460003199312246858"</f>
        <v>460003199312246858</v>
      </c>
      <c r="L3310">
        <v>4382</v>
      </c>
      <c r="M3310" t="s">
        <v>3863</v>
      </c>
      <c r="O3310" t="str">
        <f>"460003199312246858"</f>
        <v>460003199312246858</v>
      </c>
    </row>
    <row r="3311" customFormat="1" spans="1:15">
      <c r="A3311">
        <v>4383</v>
      </c>
      <c r="B3311" t="s">
        <v>3864</v>
      </c>
      <c r="C3311" t="str">
        <f>"430422200207090928"</f>
        <v>430422200207090928</v>
      </c>
      <c r="D3311" t="str">
        <f>"248030203016"</f>
        <v>248030203016</v>
      </c>
      <c r="L3311">
        <v>4383</v>
      </c>
      <c r="M3311" t="s">
        <v>3864</v>
      </c>
      <c r="N3311" t="str">
        <f>"248030203016"</f>
        <v>248030203016</v>
      </c>
      <c r="O3311" t="str">
        <f>"430422200207090928"</f>
        <v>430422200207090928</v>
      </c>
    </row>
    <row r="3312" customFormat="1" spans="1:15">
      <c r="A3312">
        <v>4384</v>
      </c>
      <c r="B3312" t="s">
        <v>3865</v>
      </c>
      <c r="C3312" t="str">
        <f>"460004200102091220"</f>
        <v>460004200102091220</v>
      </c>
      <c r="D3312" t="str">
        <f>"248030401829"</f>
        <v>248030401829</v>
      </c>
      <c r="L3312">
        <v>4384</v>
      </c>
      <c r="M3312" t="s">
        <v>3865</v>
      </c>
      <c r="N3312" t="str">
        <f>"248030401829"</f>
        <v>248030401829</v>
      </c>
      <c r="O3312" t="str">
        <f>"460004200102091220"</f>
        <v>460004200102091220</v>
      </c>
    </row>
    <row r="3313" customFormat="1" spans="1:15">
      <c r="A3313">
        <v>4385</v>
      </c>
      <c r="B3313" t="s">
        <v>3866</v>
      </c>
      <c r="C3313" t="str">
        <f>"469024200106120424"</f>
        <v>469024200106120424</v>
      </c>
      <c r="D3313" t="str">
        <f>"248030400603"</f>
        <v>248030400603</v>
      </c>
      <c r="L3313">
        <v>4385</v>
      </c>
      <c r="M3313" t="s">
        <v>3866</v>
      </c>
      <c r="N3313" t="str">
        <f>"248030400603"</f>
        <v>248030400603</v>
      </c>
      <c r="O3313" t="str">
        <f>"469024200106120424"</f>
        <v>469024200106120424</v>
      </c>
    </row>
    <row r="3314" customFormat="1" spans="1:15">
      <c r="A3314">
        <v>4386</v>
      </c>
      <c r="B3314" t="s">
        <v>3867</v>
      </c>
      <c r="C3314" t="str">
        <f>"460025199707031219"</f>
        <v>460025199707031219</v>
      </c>
      <c r="D3314" t="str">
        <f>"248030201904"</f>
        <v>248030201904</v>
      </c>
      <c r="L3314">
        <v>4386</v>
      </c>
      <c r="M3314" t="s">
        <v>3867</v>
      </c>
      <c r="N3314" t="str">
        <f>"248030201904"</f>
        <v>248030201904</v>
      </c>
      <c r="O3314" t="str">
        <f>"460025199707031219"</f>
        <v>460025199707031219</v>
      </c>
    </row>
    <row r="3315" customFormat="1" spans="1:15">
      <c r="A3315">
        <v>4387</v>
      </c>
      <c r="B3315" t="s">
        <v>3868</v>
      </c>
      <c r="C3315" t="str">
        <f>"460003199704065626"</f>
        <v>460003199704065626</v>
      </c>
      <c r="L3315">
        <v>4387</v>
      </c>
      <c r="M3315" t="s">
        <v>3868</v>
      </c>
      <c r="O3315" t="str">
        <f>"460003199704065626"</f>
        <v>460003199704065626</v>
      </c>
    </row>
    <row r="3316" customFormat="1" spans="1:15">
      <c r="A3316">
        <v>4388</v>
      </c>
      <c r="B3316" t="s">
        <v>3869</v>
      </c>
      <c r="C3316" t="str">
        <f>"460034200010070025"</f>
        <v>460034200010070025</v>
      </c>
      <c r="L3316">
        <v>4388</v>
      </c>
      <c r="M3316" t="s">
        <v>3869</v>
      </c>
      <c r="O3316" t="str">
        <f>"460034200010070025"</f>
        <v>460034200010070025</v>
      </c>
    </row>
    <row r="3317" customFormat="1" spans="1:15">
      <c r="A3317">
        <v>4389</v>
      </c>
      <c r="B3317" t="s">
        <v>3870</v>
      </c>
      <c r="C3317" t="str">
        <f>"460031200109064427"</f>
        <v>460031200109064427</v>
      </c>
      <c r="D3317" t="str">
        <f>"248030501224"</f>
        <v>248030501224</v>
      </c>
      <c r="L3317">
        <v>4389</v>
      </c>
      <c r="M3317" t="s">
        <v>3870</v>
      </c>
      <c r="N3317" t="str">
        <f>"248030501224"</f>
        <v>248030501224</v>
      </c>
      <c r="O3317" t="str">
        <f>"460031200109064427"</f>
        <v>460031200109064427</v>
      </c>
    </row>
    <row r="3318" customFormat="1" spans="1:15">
      <c r="A3318">
        <v>4390</v>
      </c>
      <c r="B3318" t="s">
        <v>3871</v>
      </c>
      <c r="C3318" t="str">
        <f>"460028200310161626"</f>
        <v>460028200310161626</v>
      </c>
      <c r="D3318" t="str">
        <f>"248030401720"</f>
        <v>248030401720</v>
      </c>
      <c r="L3318">
        <v>4390</v>
      </c>
      <c r="M3318" t="s">
        <v>3871</v>
      </c>
      <c r="N3318" t="str">
        <f>"248030401720"</f>
        <v>248030401720</v>
      </c>
      <c r="O3318" t="str">
        <f>"460028200310161626"</f>
        <v>460028200310161626</v>
      </c>
    </row>
    <row r="3319" customFormat="1" spans="1:15">
      <c r="A3319">
        <v>4391</v>
      </c>
      <c r="B3319" t="s">
        <v>3872</v>
      </c>
      <c r="C3319" t="str">
        <f>"460033199812074683"</f>
        <v>460033199812074683</v>
      </c>
      <c r="L3319">
        <v>4391</v>
      </c>
      <c r="M3319" t="s">
        <v>3872</v>
      </c>
      <c r="O3319" t="str">
        <f>"460033199812074683"</f>
        <v>460033199812074683</v>
      </c>
    </row>
    <row r="3320" customFormat="1" spans="1:15">
      <c r="A3320">
        <v>4392</v>
      </c>
      <c r="B3320" t="s">
        <v>3873</v>
      </c>
      <c r="C3320" t="str">
        <f>"460003199612087641"</f>
        <v>460003199612087641</v>
      </c>
      <c r="D3320" t="str">
        <f>"248030202605"</f>
        <v>248030202605</v>
      </c>
      <c r="L3320">
        <v>4392</v>
      </c>
      <c r="M3320" t="s">
        <v>3873</v>
      </c>
      <c r="N3320" t="str">
        <f>"248030202605"</f>
        <v>248030202605</v>
      </c>
      <c r="O3320" t="str">
        <f>"460003199612087641"</f>
        <v>460003199612087641</v>
      </c>
    </row>
    <row r="3321" customFormat="1" spans="1:15">
      <c r="A3321">
        <v>4393</v>
      </c>
      <c r="B3321" t="s">
        <v>3874</v>
      </c>
      <c r="C3321" t="str">
        <f>"460003199812023220"</f>
        <v>460003199812023220</v>
      </c>
      <c r="D3321" t="str">
        <f>"248030300718"</f>
        <v>248030300718</v>
      </c>
      <c r="L3321">
        <v>4393</v>
      </c>
      <c r="M3321" t="s">
        <v>3874</v>
      </c>
      <c r="N3321" t="str">
        <f>"248030300718"</f>
        <v>248030300718</v>
      </c>
      <c r="O3321" t="str">
        <f>"460003199812023220"</f>
        <v>460003199812023220</v>
      </c>
    </row>
    <row r="3322" customFormat="1" spans="1:15">
      <c r="A3322">
        <v>4395</v>
      </c>
      <c r="B3322" t="s">
        <v>3875</v>
      </c>
      <c r="C3322" t="str">
        <f>"460028200110093243"</f>
        <v>460028200110093243</v>
      </c>
      <c r="D3322" t="str">
        <f>"248030503717"</f>
        <v>248030503717</v>
      </c>
      <c r="L3322">
        <v>4395</v>
      </c>
      <c r="M3322" t="s">
        <v>3875</v>
      </c>
      <c r="N3322" t="str">
        <f>"248030503717"</f>
        <v>248030503717</v>
      </c>
      <c r="O3322" t="str">
        <f>"460028200110093243"</f>
        <v>460028200110093243</v>
      </c>
    </row>
    <row r="3323" customFormat="1" spans="1:15">
      <c r="A3323">
        <v>4396</v>
      </c>
      <c r="B3323" t="s">
        <v>3876</v>
      </c>
      <c r="C3323" t="str">
        <f>"460003199712063225"</f>
        <v>460003199712063225</v>
      </c>
      <c r="D3323" t="str">
        <f>"248030500107"</f>
        <v>248030500107</v>
      </c>
      <c r="L3323">
        <v>4396</v>
      </c>
      <c r="M3323" t="s">
        <v>3876</v>
      </c>
      <c r="N3323" t="str">
        <f>"248030500107"</f>
        <v>248030500107</v>
      </c>
      <c r="O3323" t="str">
        <f>"460003199712063225"</f>
        <v>460003199712063225</v>
      </c>
    </row>
    <row r="3324" customFormat="1" spans="1:15">
      <c r="A3324">
        <v>4397</v>
      </c>
      <c r="B3324" t="s">
        <v>3877</v>
      </c>
      <c r="C3324" t="str">
        <f>"421182198903251747"</f>
        <v>421182198903251747</v>
      </c>
      <c r="D3324" t="str">
        <f>"248030500113"</f>
        <v>248030500113</v>
      </c>
      <c r="L3324">
        <v>4397</v>
      </c>
      <c r="M3324" t="s">
        <v>3877</v>
      </c>
      <c r="N3324" t="str">
        <f>"248030500113"</f>
        <v>248030500113</v>
      </c>
      <c r="O3324" t="str">
        <f>"421182198903251747"</f>
        <v>421182198903251747</v>
      </c>
    </row>
    <row r="3325" customFormat="1" spans="1:15">
      <c r="A3325">
        <v>4400</v>
      </c>
      <c r="B3325" t="s">
        <v>3878</v>
      </c>
      <c r="C3325" t="str">
        <f>"421127199909295425"</f>
        <v>421127199909295425</v>
      </c>
      <c r="D3325" t="str">
        <f>"248030201620"</f>
        <v>248030201620</v>
      </c>
      <c r="L3325">
        <v>4400</v>
      </c>
      <c r="M3325" t="s">
        <v>3878</v>
      </c>
      <c r="N3325" t="str">
        <f>"248030201620"</f>
        <v>248030201620</v>
      </c>
      <c r="O3325" t="str">
        <f>"421127199909295425"</f>
        <v>421127199909295425</v>
      </c>
    </row>
    <row r="3326" customFormat="1" spans="1:15">
      <c r="A3326">
        <v>4401</v>
      </c>
      <c r="B3326" t="s">
        <v>3879</v>
      </c>
      <c r="C3326" t="str">
        <f>"460005200208294524"</f>
        <v>460005200208294524</v>
      </c>
      <c r="D3326" t="str">
        <f>"248030301427"</f>
        <v>248030301427</v>
      </c>
      <c r="L3326">
        <v>4401</v>
      </c>
      <c r="M3326" t="s">
        <v>3879</v>
      </c>
      <c r="N3326" t="str">
        <f>"248030301427"</f>
        <v>248030301427</v>
      </c>
      <c r="O3326" t="str">
        <f>"460005200208294524"</f>
        <v>460005200208294524</v>
      </c>
    </row>
    <row r="3327" customFormat="1" spans="1:15">
      <c r="A3327">
        <v>4402</v>
      </c>
      <c r="B3327" t="s">
        <v>3880</v>
      </c>
      <c r="C3327" t="str">
        <f>"469006199811196821"</f>
        <v>469006199811196821</v>
      </c>
      <c r="D3327" t="str">
        <f>"248030101617"</f>
        <v>248030101617</v>
      </c>
      <c r="L3327">
        <v>4402</v>
      </c>
      <c r="M3327" t="s">
        <v>3880</v>
      </c>
      <c r="N3327" t="str">
        <f>"248030101617"</f>
        <v>248030101617</v>
      </c>
      <c r="O3327" t="str">
        <f>"469006199811196821"</f>
        <v>469006199811196821</v>
      </c>
    </row>
    <row r="3328" customFormat="1" spans="1:15">
      <c r="A3328">
        <v>4403</v>
      </c>
      <c r="B3328" t="s">
        <v>3881</v>
      </c>
      <c r="C3328" t="str">
        <f>"610522199205040023"</f>
        <v>610522199205040023</v>
      </c>
      <c r="L3328">
        <v>4403</v>
      </c>
      <c r="M3328" t="s">
        <v>3881</v>
      </c>
      <c r="O3328" t="str">
        <f>"610522199205040023"</f>
        <v>610522199205040023</v>
      </c>
    </row>
    <row r="3329" customFormat="1" spans="1:15">
      <c r="A3329">
        <v>4404</v>
      </c>
      <c r="B3329" t="s">
        <v>3882</v>
      </c>
      <c r="C3329" t="str">
        <f>"460004199101283444"</f>
        <v>460004199101283444</v>
      </c>
      <c r="D3329" t="str">
        <f>"248030403811"</f>
        <v>248030403811</v>
      </c>
      <c r="L3329">
        <v>4404</v>
      </c>
      <c r="M3329" t="s">
        <v>3882</v>
      </c>
      <c r="N3329" t="str">
        <f>"248030403811"</f>
        <v>248030403811</v>
      </c>
      <c r="O3329" t="str">
        <f>"460004199101283444"</f>
        <v>460004199101283444</v>
      </c>
    </row>
    <row r="3330" customFormat="1" spans="1:15">
      <c r="A3330">
        <v>4405</v>
      </c>
      <c r="B3330" t="s">
        <v>3883</v>
      </c>
      <c r="C3330" t="str">
        <f>"460006200103058126"</f>
        <v>460006200103058126</v>
      </c>
      <c r="D3330" t="str">
        <f>"248030300901"</f>
        <v>248030300901</v>
      </c>
      <c r="L3330">
        <v>4405</v>
      </c>
      <c r="M3330" t="s">
        <v>3883</v>
      </c>
      <c r="N3330" t="str">
        <f>"248030300901"</f>
        <v>248030300901</v>
      </c>
      <c r="O3330" t="str">
        <f>"460006200103058126"</f>
        <v>460006200103058126</v>
      </c>
    </row>
    <row r="3331" customFormat="1" spans="1:15">
      <c r="A3331">
        <v>4407</v>
      </c>
      <c r="B3331" t="s">
        <v>1739</v>
      </c>
      <c r="C3331" t="str">
        <f>"46003320001125388X"</f>
        <v>46003320001125388X</v>
      </c>
      <c r="L3331">
        <v>4407</v>
      </c>
      <c r="M3331" t="s">
        <v>1739</v>
      </c>
      <c r="O3331" t="str">
        <f>"46003320001125388X"</f>
        <v>46003320001125388X</v>
      </c>
    </row>
    <row r="3332" customFormat="1" spans="1:15">
      <c r="A3332">
        <v>4409</v>
      </c>
      <c r="B3332" t="s">
        <v>3884</v>
      </c>
      <c r="C3332" t="str">
        <f>"460032199006226228"</f>
        <v>460032199006226228</v>
      </c>
      <c r="D3332" t="str">
        <f>"248030500413"</f>
        <v>248030500413</v>
      </c>
      <c r="L3332">
        <v>4409</v>
      </c>
      <c r="M3332" t="s">
        <v>3884</v>
      </c>
      <c r="N3332" t="str">
        <f>"248030500413"</f>
        <v>248030500413</v>
      </c>
      <c r="O3332" t="str">
        <f>"460032199006226228"</f>
        <v>460032199006226228</v>
      </c>
    </row>
    <row r="3333" customFormat="1" spans="1:15">
      <c r="A3333">
        <v>4410</v>
      </c>
      <c r="B3333" t="s">
        <v>3885</v>
      </c>
      <c r="C3333" t="str">
        <f>"460200200108230522"</f>
        <v>460200200108230522</v>
      </c>
      <c r="D3333" t="str">
        <f>"248030401528"</f>
        <v>248030401528</v>
      </c>
      <c r="L3333">
        <v>4410</v>
      </c>
      <c r="M3333" t="s">
        <v>3885</v>
      </c>
      <c r="N3333" t="str">
        <f>"248030401528"</f>
        <v>248030401528</v>
      </c>
      <c r="O3333" t="str">
        <f>"460200200108230522"</f>
        <v>460200200108230522</v>
      </c>
    </row>
    <row r="3334" customFormat="1" spans="1:15">
      <c r="A3334">
        <v>4412</v>
      </c>
      <c r="B3334" t="s">
        <v>3886</v>
      </c>
      <c r="C3334" t="str">
        <f>"460006200308266244"</f>
        <v>460006200308266244</v>
      </c>
      <c r="D3334" t="str">
        <f>"248030103010"</f>
        <v>248030103010</v>
      </c>
      <c r="L3334">
        <v>4412</v>
      </c>
      <c r="M3334" t="s">
        <v>3886</v>
      </c>
      <c r="N3334" t="str">
        <f>"248030103010"</f>
        <v>248030103010</v>
      </c>
      <c r="O3334" t="str">
        <f>"460006200308266244"</f>
        <v>460006200308266244</v>
      </c>
    </row>
    <row r="3335" customFormat="1" spans="1:15">
      <c r="A3335">
        <v>4414</v>
      </c>
      <c r="B3335" t="s">
        <v>3887</v>
      </c>
      <c r="C3335" t="str">
        <f>"362525199807261527"</f>
        <v>362525199807261527</v>
      </c>
      <c r="D3335" t="str">
        <f>"248030104611"</f>
        <v>248030104611</v>
      </c>
      <c r="L3335">
        <v>4414</v>
      </c>
      <c r="M3335" t="s">
        <v>3887</v>
      </c>
      <c r="N3335" t="str">
        <f>"248030104611"</f>
        <v>248030104611</v>
      </c>
      <c r="O3335" t="str">
        <f>"362525199807261527"</f>
        <v>362525199807261527</v>
      </c>
    </row>
    <row r="3336" customFormat="1" spans="1:15">
      <c r="A3336">
        <v>4415</v>
      </c>
      <c r="B3336" t="s">
        <v>3888</v>
      </c>
      <c r="C3336" t="str">
        <f>"431121200105180023"</f>
        <v>431121200105180023</v>
      </c>
      <c r="D3336" t="str">
        <f>"248030203313"</f>
        <v>248030203313</v>
      </c>
      <c r="L3336">
        <v>4415</v>
      </c>
      <c r="M3336" t="s">
        <v>3888</v>
      </c>
      <c r="N3336" t="str">
        <f>"248030203313"</f>
        <v>248030203313</v>
      </c>
      <c r="O3336" t="str">
        <f>"431121200105180023"</f>
        <v>431121200105180023</v>
      </c>
    </row>
    <row r="3337" customFormat="1" spans="1:15">
      <c r="A3337">
        <v>4416</v>
      </c>
      <c r="B3337" t="s">
        <v>164</v>
      </c>
      <c r="C3337" t="str">
        <f>"460002199607163420"</f>
        <v>460002199607163420</v>
      </c>
      <c r="D3337" t="str">
        <f>"248030404230"</f>
        <v>248030404230</v>
      </c>
      <c r="L3337">
        <v>4416</v>
      </c>
      <c r="M3337" t="s">
        <v>164</v>
      </c>
      <c r="N3337" t="str">
        <f>"248030404230"</f>
        <v>248030404230</v>
      </c>
      <c r="O3337" t="str">
        <f>"460002199607163420"</f>
        <v>460002199607163420</v>
      </c>
    </row>
    <row r="3338" customFormat="1" spans="1:15">
      <c r="A3338">
        <v>4417</v>
      </c>
      <c r="B3338" t="s">
        <v>3889</v>
      </c>
      <c r="C3338" t="str">
        <f>"46002520000501062X"</f>
        <v>46002520000501062X</v>
      </c>
      <c r="D3338" t="str">
        <f>"248030502727"</f>
        <v>248030502727</v>
      </c>
      <c r="L3338">
        <v>4417</v>
      </c>
      <c r="M3338" t="s">
        <v>3889</v>
      </c>
      <c r="N3338" t="str">
        <f>"248030502727"</f>
        <v>248030502727</v>
      </c>
      <c r="O3338" t="str">
        <f>"46002520000501062X"</f>
        <v>46002520000501062X</v>
      </c>
    </row>
    <row r="3339" customFormat="1" spans="1:15">
      <c r="A3339">
        <v>4418</v>
      </c>
      <c r="B3339" t="s">
        <v>3890</v>
      </c>
      <c r="C3339" t="str">
        <f>"460031199310215623"</f>
        <v>460031199310215623</v>
      </c>
      <c r="D3339" t="str">
        <f>"248030104725"</f>
        <v>248030104725</v>
      </c>
      <c r="L3339">
        <v>4418</v>
      </c>
      <c r="M3339" t="s">
        <v>3890</v>
      </c>
      <c r="N3339" t="str">
        <f>"248030104725"</f>
        <v>248030104725</v>
      </c>
      <c r="O3339" t="str">
        <f>"460031199310215623"</f>
        <v>460031199310215623</v>
      </c>
    </row>
    <row r="3340" customFormat="1" spans="1:15">
      <c r="A3340">
        <v>4420</v>
      </c>
      <c r="B3340" t="s">
        <v>3891</v>
      </c>
      <c r="C3340" t="str">
        <f>"231181200107190013"</f>
        <v>231181200107190013</v>
      </c>
      <c r="D3340" t="str">
        <f>"248030403922"</f>
        <v>248030403922</v>
      </c>
      <c r="L3340">
        <v>4420</v>
      </c>
      <c r="M3340" t="s">
        <v>3891</v>
      </c>
      <c r="N3340" t="str">
        <f>"248030403922"</f>
        <v>248030403922</v>
      </c>
      <c r="O3340" t="str">
        <f>"231181200107190013"</f>
        <v>231181200107190013</v>
      </c>
    </row>
    <row r="3341" customFormat="1" spans="1:15">
      <c r="A3341">
        <v>4421</v>
      </c>
      <c r="B3341" t="s">
        <v>3892</v>
      </c>
      <c r="C3341" t="str">
        <f>"460003199909212466"</f>
        <v>460003199909212466</v>
      </c>
      <c r="D3341" t="str">
        <f>"248030300215"</f>
        <v>248030300215</v>
      </c>
      <c r="L3341">
        <v>4421</v>
      </c>
      <c r="M3341" t="s">
        <v>3892</v>
      </c>
      <c r="N3341" t="str">
        <f>"248030300215"</f>
        <v>248030300215</v>
      </c>
      <c r="O3341" t="str">
        <f>"460003199909212466"</f>
        <v>460003199909212466</v>
      </c>
    </row>
    <row r="3342" customFormat="1" spans="1:15">
      <c r="A3342">
        <v>4422</v>
      </c>
      <c r="B3342" t="s">
        <v>3893</v>
      </c>
      <c r="C3342" t="str">
        <f>"412828200203236625"</f>
        <v>412828200203236625</v>
      </c>
      <c r="L3342">
        <v>4422</v>
      </c>
      <c r="M3342" t="s">
        <v>3893</v>
      </c>
      <c r="O3342" t="str">
        <f>"412828200203236625"</f>
        <v>412828200203236625</v>
      </c>
    </row>
    <row r="3343" customFormat="1" spans="1:15">
      <c r="A3343">
        <v>4425</v>
      </c>
      <c r="B3343" t="s">
        <v>3894</v>
      </c>
      <c r="C3343" t="str">
        <f>"46000620020526166X"</f>
        <v>46000620020526166X</v>
      </c>
      <c r="D3343" t="str">
        <f>"248030500329"</f>
        <v>248030500329</v>
      </c>
      <c r="L3343">
        <v>4425</v>
      </c>
      <c r="M3343" t="s">
        <v>3894</v>
      </c>
      <c r="N3343" t="str">
        <f>"248030500329"</f>
        <v>248030500329</v>
      </c>
      <c r="O3343" t="str">
        <f>"46000620020526166X"</f>
        <v>46000620020526166X</v>
      </c>
    </row>
    <row r="3344" customFormat="1" spans="1:15">
      <c r="A3344">
        <v>4426</v>
      </c>
      <c r="B3344" t="s">
        <v>3895</v>
      </c>
      <c r="C3344" t="str">
        <f>"460004199701050425"</f>
        <v>460004199701050425</v>
      </c>
      <c r="D3344" t="str">
        <f>"248030103129"</f>
        <v>248030103129</v>
      </c>
      <c r="L3344">
        <v>4426</v>
      </c>
      <c r="M3344" t="s">
        <v>3895</v>
      </c>
      <c r="N3344" t="str">
        <f>"248030103129"</f>
        <v>248030103129</v>
      </c>
      <c r="O3344" t="str">
        <f>"460004199701050425"</f>
        <v>460004199701050425</v>
      </c>
    </row>
    <row r="3345" customFormat="1" spans="1:15">
      <c r="A3345">
        <v>4427</v>
      </c>
      <c r="B3345" t="s">
        <v>133</v>
      </c>
      <c r="C3345" t="str">
        <f>"460004200108020028"</f>
        <v>460004200108020028</v>
      </c>
      <c r="D3345" t="str">
        <f>"248030102101"</f>
        <v>248030102101</v>
      </c>
      <c r="L3345">
        <v>4427</v>
      </c>
      <c r="M3345" t="s">
        <v>133</v>
      </c>
      <c r="N3345" t="str">
        <f>"248030102101"</f>
        <v>248030102101</v>
      </c>
      <c r="O3345" t="str">
        <f>"460004200108020028"</f>
        <v>460004200108020028</v>
      </c>
    </row>
    <row r="3346" customFormat="1" spans="1:15">
      <c r="A3346">
        <v>4429</v>
      </c>
      <c r="B3346" t="s">
        <v>3896</v>
      </c>
      <c r="C3346" t="str">
        <f>"460006199912242729"</f>
        <v>460006199912242729</v>
      </c>
      <c r="D3346" t="str">
        <f>"248030400506"</f>
        <v>248030400506</v>
      </c>
      <c r="L3346">
        <v>4429</v>
      </c>
      <c r="M3346" t="s">
        <v>3896</v>
      </c>
      <c r="N3346" t="str">
        <f>"248030400506"</f>
        <v>248030400506</v>
      </c>
      <c r="O3346" t="str">
        <f>"460006199912242729"</f>
        <v>460006199912242729</v>
      </c>
    </row>
    <row r="3347" customFormat="1" spans="1:15">
      <c r="A3347">
        <v>4430</v>
      </c>
      <c r="B3347" t="s">
        <v>3897</v>
      </c>
      <c r="C3347" t="str">
        <f>"460104200006240025"</f>
        <v>460104200006240025</v>
      </c>
      <c r="D3347" t="str">
        <f>"248030400310"</f>
        <v>248030400310</v>
      </c>
      <c r="L3347">
        <v>4430</v>
      </c>
      <c r="M3347" t="s">
        <v>3897</v>
      </c>
      <c r="N3347" t="str">
        <f>"248030400310"</f>
        <v>248030400310</v>
      </c>
      <c r="O3347" t="str">
        <f>"460104200006240025"</f>
        <v>460104200006240025</v>
      </c>
    </row>
    <row r="3348" customFormat="1" spans="1:15">
      <c r="A3348">
        <v>4433</v>
      </c>
      <c r="B3348" t="s">
        <v>3898</v>
      </c>
      <c r="C3348" t="str">
        <f>"460102198901290923"</f>
        <v>460102198901290923</v>
      </c>
      <c r="D3348" t="str">
        <f>"248030302212"</f>
        <v>248030302212</v>
      </c>
      <c r="L3348">
        <v>4433</v>
      </c>
      <c r="M3348" t="s">
        <v>3898</v>
      </c>
      <c r="N3348" t="str">
        <f>"248030302212"</f>
        <v>248030302212</v>
      </c>
      <c r="O3348" t="str">
        <f>"460102198901290923"</f>
        <v>460102198901290923</v>
      </c>
    </row>
    <row r="3349" customFormat="1" spans="1:15">
      <c r="A3349">
        <v>4435</v>
      </c>
      <c r="B3349" t="s">
        <v>3899</v>
      </c>
      <c r="C3349" t="str">
        <f>"130206199309011824"</f>
        <v>130206199309011824</v>
      </c>
      <c r="L3349">
        <v>4435</v>
      </c>
      <c r="M3349" t="s">
        <v>3899</v>
      </c>
      <c r="O3349" t="str">
        <f>"130206199309011824"</f>
        <v>130206199309011824</v>
      </c>
    </row>
    <row r="3350" customFormat="1" spans="1:15">
      <c r="A3350">
        <v>4436</v>
      </c>
      <c r="B3350" t="s">
        <v>3900</v>
      </c>
      <c r="C3350" t="str">
        <f>"460006199801288724"</f>
        <v>460006199801288724</v>
      </c>
      <c r="D3350" t="str">
        <f>"248030300326"</f>
        <v>248030300326</v>
      </c>
      <c r="L3350">
        <v>4436</v>
      </c>
      <c r="M3350" t="s">
        <v>3900</v>
      </c>
      <c r="N3350" t="str">
        <f>"248030300326"</f>
        <v>248030300326</v>
      </c>
      <c r="O3350" t="str">
        <f>"460006199801288724"</f>
        <v>460006199801288724</v>
      </c>
    </row>
    <row r="3351" customFormat="1" spans="1:15">
      <c r="A3351">
        <v>4437</v>
      </c>
      <c r="B3351" t="s">
        <v>807</v>
      </c>
      <c r="C3351" t="str">
        <f>"460103199208203028"</f>
        <v>460103199208203028</v>
      </c>
      <c r="D3351" t="str">
        <f>"248030200412"</f>
        <v>248030200412</v>
      </c>
      <c r="L3351">
        <v>4437</v>
      </c>
      <c r="M3351" t="s">
        <v>807</v>
      </c>
      <c r="N3351" t="str">
        <f>"248030200412"</f>
        <v>248030200412</v>
      </c>
      <c r="O3351" t="str">
        <f>"460103199208203028"</f>
        <v>460103199208203028</v>
      </c>
    </row>
    <row r="3352" customFormat="1" spans="1:15">
      <c r="A3352">
        <v>4438</v>
      </c>
      <c r="B3352" t="s">
        <v>3901</v>
      </c>
      <c r="C3352" t="str">
        <f>"460028199609127240"</f>
        <v>460028199609127240</v>
      </c>
      <c r="D3352" t="str">
        <f>"248030301411"</f>
        <v>248030301411</v>
      </c>
      <c r="L3352">
        <v>4438</v>
      </c>
      <c r="M3352" t="s">
        <v>3901</v>
      </c>
      <c r="N3352" t="str">
        <f>"248030301411"</f>
        <v>248030301411</v>
      </c>
      <c r="O3352" t="str">
        <f>"460028199609127240"</f>
        <v>460028199609127240</v>
      </c>
    </row>
    <row r="3353" customFormat="1" spans="1:15">
      <c r="A3353">
        <v>4439</v>
      </c>
      <c r="B3353" t="s">
        <v>3902</v>
      </c>
      <c r="C3353" t="str">
        <f>"460004200206100240"</f>
        <v>460004200206100240</v>
      </c>
      <c r="D3353" t="str">
        <f>"248030103128"</f>
        <v>248030103128</v>
      </c>
      <c r="L3353">
        <v>4439</v>
      </c>
      <c r="M3353" t="s">
        <v>3902</v>
      </c>
      <c r="N3353" t="str">
        <f>"248030103128"</f>
        <v>248030103128</v>
      </c>
      <c r="O3353" t="str">
        <f>"460004200206100240"</f>
        <v>460004200206100240</v>
      </c>
    </row>
    <row r="3354" customFormat="1" spans="1:15">
      <c r="A3354">
        <v>4440</v>
      </c>
      <c r="B3354" t="s">
        <v>3903</v>
      </c>
      <c r="C3354" t="str">
        <f>"460004200012180641"</f>
        <v>460004200012180641</v>
      </c>
      <c r="D3354" t="str">
        <f>"248030102520"</f>
        <v>248030102520</v>
      </c>
      <c r="L3354">
        <v>4440</v>
      </c>
      <c r="M3354" t="s">
        <v>3903</v>
      </c>
      <c r="N3354" t="str">
        <f>"248030102520"</f>
        <v>248030102520</v>
      </c>
      <c r="O3354" t="str">
        <f>"460004200012180641"</f>
        <v>460004200012180641</v>
      </c>
    </row>
    <row r="3355" customFormat="1" spans="1:15">
      <c r="A3355">
        <v>4441</v>
      </c>
      <c r="B3355" t="s">
        <v>3904</v>
      </c>
      <c r="C3355" t="str">
        <f>"460007199304180081"</f>
        <v>460007199304180081</v>
      </c>
      <c r="D3355" t="str">
        <f>"248030501912"</f>
        <v>248030501912</v>
      </c>
      <c r="L3355">
        <v>4441</v>
      </c>
      <c r="M3355" t="s">
        <v>3904</v>
      </c>
      <c r="N3355" t="str">
        <f>"248030501912"</f>
        <v>248030501912</v>
      </c>
      <c r="O3355" t="str">
        <f>"460007199304180081"</f>
        <v>460007199304180081</v>
      </c>
    </row>
    <row r="3356" customFormat="1" spans="1:15">
      <c r="A3356">
        <v>4442</v>
      </c>
      <c r="B3356" t="s">
        <v>3905</v>
      </c>
      <c r="C3356" t="str">
        <f>"460033199304054846"</f>
        <v>460033199304054846</v>
      </c>
      <c r="D3356" t="str">
        <f>"248030500407"</f>
        <v>248030500407</v>
      </c>
      <c r="L3356">
        <v>4442</v>
      </c>
      <c r="M3356" t="s">
        <v>3905</v>
      </c>
      <c r="N3356" t="str">
        <f>"248030500407"</f>
        <v>248030500407</v>
      </c>
      <c r="O3356" t="str">
        <f>"460033199304054846"</f>
        <v>460033199304054846</v>
      </c>
    </row>
    <row r="3357" customFormat="1" spans="1:15">
      <c r="A3357">
        <v>4443</v>
      </c>
      <c r="B3357" t="s">
        <v>3906</v>
      </c>
      <c r="C3357" t="str">
        <f>"460028199305265214"</f>
        <v>460028199305265214</v>
      </c>
      <c r="D3357" t="str">
        <f>"248030503501"</f>
        <v>248030503501</v>
      </c>
      <c r="L3357">
        <v>4443</v>
      </c>
      <c r="M3357" t="s">
        <v>3906</v>
      </c>
      <c r="N3357" t="str">
        <f>"248030503501"</f>
        <v>248030503501</v>
      </c>
      <c r="O3357" t="str">
        <f>"460028199305265214"</f>
        <v>460028199305265214</v>
      </c>
    </row>
    <row r="3358" customFormat="1" spans="1:15">
      <c r="A3358">
        <v>4444</v>
      </c>
      <c r="B3358" t="s">
        <v>3907</v>
      </c>
      <c r="C3358" t="str">
        <f>"469003200101185323"</f>
        <v>469003200101185323</v>
      </c>
      <c r="D3358" t="str">
        <f>"248030400726"</f>
        <v>248030400726</v>
      </c>
      <c r="L3358">
        <v>4444</v>
      </c>
      <c r="M3358" t="s">
        <v>3907</v>
      </c>
      <c r="N3358" t="str">
        <f>"248030400726"</f>
        <v>248030400726</v>
      </c>
      <c r="O3358" t="str">
        <f>"469003200101185323"</f>
        <v>469003200101185323</v>
      </c>
    </row>
    <row r="3359" customFormat="1" spans="1:15">
      <c r="A3359">
        <v>4445</v>
      </c>
      <c r="B3359" t="s">
        <v>3908</v>
      </c>
      <c r="C3359" t="str">
        <f>"460005200112104829"</f>
        <v>460005200112104829</v>
      </c>
      <c r="D3359" t="str">
        <f>"248030501529"</f>
        <v>248030501529</v>
      </c>
      <c r="L3359">
        <v>4445</v>
      </c>
      <c r="M3359" t="s">
        <v>3908</v>
      </c>
      <c r="N3359" t="str">
        <f>"248030501529"</f>
        <v>248030501529</v>
      </c>
      <c r="O3359" t="str">
        <f>"460005200112104829"</f>
        <v>460005200112104829</v>
      </c>
    </row>
    <row r="3360" customFormat="1" spans="1:15">
      <c r="A3360">
        <v>4446</v>
      </c>
      <c r="B3360" t="s">
        <v>3909</v>
      </c>
      <c r="C3360" t="str">
        <f>"460027199708213789"</f>
        <v>460027199708213789</v>
      </c>
      <c r="D3360" t="str">
        <f>"248030500628"</f>
        <v>248030500628</v>
      </c>
      <c r="L3360">
        <v>4446</v>
      </c>
      <c r="M3360" t="s">
        <v>3909</v>
      </c>
      <c r="N3360" t="str">
        <f>"248030500628"</f>
        <v>248030500628</v>
      </c>
      <c r="O3360" t="str">
        <f>"460027199708213789"</f>
        <v>460027199708213789</v>
      </c>
    </row>
    <row r="3361" customFormat="1" spans="1:15">
      <c r="A3361">
        <v>4447</v>
      </c>
      <c r="B3361" t="s">
        <v>3910</v>
      </c>
      <c r="C3361" t="str">
        <f>"513922199406133446"</f>
        <v>513922199406133446</v>
      </c>
      <c r="L3361">
        <v>4447</v>
      </c>
      <c r="M3361" t="s">
        <v>3910</v>
      </c>
      <c r="O3361" t="str">
        <f>"513922199406133446"</f>
        <v>513922199406133446</v>
      </c>
    </row>
    <row r="3362" customFormat="1" spans="1:15">
      <c r="A3362">
        <v>4448</v>
      </c>
      <c r="B3362" t="s">
        <v>3911</v>
      </c>
      <c r="C3362" t="str">
        <f>"460033200211033224"</f>
        <v>460033200211033224</v>
      </c>
      <c r="D3362" t="str">
        <f>"248030101009"</f>
        <v>248030101009</v>
      </c>
      <c r="L3362">
        <v>4448</v>
      </c>
      <c r="M3362" t="s">
        <v>3911</v>
      </c>
      <c r="N3362" t="str">
        <f>"248030101009"</f>
        <v>248030101009</v>
      </c>
      <c r="O3362" t="str">
        <f>"460033200211033224"</f>
        <v>460033200211033224</v>
      </c>
    </row>
    <row r="3363" customFormat="1" spans="1:15">
      <c r="A3363">
        <v>4449</v>
      </c>
      <c r="B3363" t="s">
        <v>3912</v>
      </c>
      <c r="C3363" t="str">
        <f>"460028199904285217"</f>
        <v>460028199904285217</v>
      </c>
      <c r="D3363" t="str">
        <f>"248030201915"</f>
        <v>248030201915</v>
      </c>
      <c r="L3363">
        <v>4449</v>
      </c>
      <c r="M3363" t="s">
        <v>3912</v>
      </c>
      <c r="N3363" t="str">
        <f>"248030201915"</f>
        <v>248030201915</v>
      </c>
      <c r="O3363" t="str">
        <f>"460028199904285217"</f>
        <v>460028199904285217</v>
      </c>
    </row>
    <row r="3364" customFormat="1" spans="1:15">
      <c r="A3364">
        <v>4452</v>
      </c>
      <c r="B3364" t="s">
        <v>3913</v>
      </c>
      <c r="C3364" t="str">
        <f>"469007200009267225"</f>
        <v>469007200009267225</v>
      </c>
      <c r="D3364" t="str">
        <f>"248030103917"</f>
        <v>248030103917</v>
      </c>
      <c r="L3364">
        <v>4452</v>
      </c>
      <c r="M3364" t="s">
        <v>3913</v>
      </c>
      <c r="N3364" t="str">
        <f>"248030103917"</f>
        <v>248030103917</v>
      </c>
      <c r="O3364" t="str">
        <f>"469007200009267225"</f>
        <v>469007200009267225</v>
      </c>
    </row>
    <row r="3365" customFormat="1" spans="1:15">
      <c r="A3365">
        <v>4453</v>
      </c>
      <c r="B3365" t="s">
        <v>2841</v>
      </c>
      <c r="C3365" t="str">
        <f>"460004199310154024"</f>
        <v>460004199310154024</v>
      </c>
      <c r="D3365" t="str">
        <f>"248030403118"</f>
        <v>248030403118</v>
      </c>
      <c r="L3365">
        <v>4453</v>
      </c>
      <c r="M3365" t="s">
        <v>2841</v>
      </c>
      <c r="N3365" t="str">
        <f>"248030403118"</f>
        <v>248030403118</v>
      </c>
      <c r="O3365" t="str">
        <f>"460004199310154024"</f>
        <v>460004199310154024</v>
      </c>
    </row>
    <row r="3366" customFormat="1" spans="1:15">
      <c r="A3366">
        <v>4454</v>
      </c>
      <c r="B3366" t="s">
        <v>3914</v>
      </c>
      <c r="C3366" t="str">
        <f>"460002200011150544"</f>
        <v>460002200011150544</v>
      </c>
      <c r="D3366" t="str">
        <f>"248030202129"</f>
        <v>248030202129</v>
      </c>
      <c r="L3366">
        <v>4454</v>
      </c>
      <c r="M3366" t="s">
        <v>3914</v>
      </c>
      <c r="N3366" t="str">
        <f>"248030202129"</f>
        <v>248030202129</v>
      </c>
      <c r="O3366" t="str">
        <f>"460002200011150544"</f>
        <v>460002200011150544</v>
      </c>
    </row>
    <row r="3367" customFormat="1" spans="1:15">
      <c r="A3367">
        <v>4455</v>
      </c>
      <c r="B3367" t="s">
        <v>3915</v>
      </c>
      <c r="C3367" t="str">
        <f>"460027200103135111"</f>
        <v>460027200103135111</v>
      </c>
      <c r="D3367" t="str">
        <f>"248030100410"</f>
        <v>248030100410</v>
      </c>
      <c r="L3367">
        <v>4455</v>
      </c>
      <c r="M3367" t="s">
        <v>3915</v>
      </c>
      <c r="N3367" t="str">
        <f>"248030100410"</f>
        <v>248030100410</v>
      </c>
      <c r="O3367" t="str">
        <f>"460027200103135111"</f>
        <v>460027200103135111</v>
      </c>
    </row>
    <row r="3368" customFormat="1" spans="1:15">
      <c r="A3368">
        <v>4456</v>
      </c>
      <c r="B3368" t="s">
        <v>3916</v>
      </c>
      <c r="C3368" t="str">
        <f>"411726200202087622"</f>
        <v>411726200202087622</v>
      </c>
      <c r="D3368" t="str">
        <f>"248030100812"</f>
        <v>248030100812</v>
      </c>
      <c r="L3368">
        <v>4456</v>
      </c>
      <c r="M3368" t="s">
        <v>3916</v>
      </c>
      <c r="N3368" t="str">
        <f>"248030100812"</f>
        <v>248030100812</v>
      </c>
      <c r="O3368" t="str">
        <f>"411726200202087622"</f>
        <v>411726200202087622</v>
      </c>
    </row>
    <row r="3369" customFormat="1" spans="1:15">
      <c r="A3369">
        <v>4457</v>
      </c>
      <c r="B3369" t="s">
        <v>3917</v>
      </c>
      <c r="C3369" t="str">
        <f>"460028199608050827"</f>
        <v>460028199608050827</v>
      </c>
      <c r="D3369" t="str">
        <f>"248030302601"</f>
        <v>248030302601</v>
      </c>
      <c r="L3369">
        <v>4457</v>
      </c>
      <c r="M3369" t="s">
        <v>3917</v>
      </c>
      <c r="N3369" t="str">
        <f>"248030302601"</f>
        <v>248030302601</v>
      </c>
      <c r="O3369" t="str">
        <f>"460028199608050827"</f>
        <v>460028199608050827</v>
      </c>
    </row>
    <row r="3370" customFormat="1" spans="1:15">
      <c r="A3370">
        <v>4458</v>
      </c>
      <c r="B3370" t="s">
        <v>193</v>
      </c>
      <c r="C3370" t="str">
        <f>"460027199612087044"</f>
        <v>460027199612087044</v>
      </c>
      <c r="D3370" t="str">
        <f>"248030101119"</f>
        <v>248030101119</v>
      </c>
      <c r="L3370">
        <v>4458</v>
      </c>
      <c r="M3370" t="s">
        <v>193</v>
      </c>
      <c r="N3370" t="str">
        <f>"248030101119"</f>
        <v>248030101119</v>
      </c>
      <c r="O3370" t="str">
        <f>"460027199612087044"</f>
        <v>460027199612087044</v>
      </c>
    </row>
    <row r="3371" customFormat="1" spans="1:15">
      <c r="A3371">
        <v>4459</v>
      </c>
      <c r="B3371" t="s">
        <v>3918</v>
      </c>
      <c r="C3371" t="str">
        <f>"460103200209060028"</f>
        <v>460103200209060028</v>
      </c>
      <c r="D3371" t="str">
        <f>"248030101603"</f>
        <v>248030101603</v>
      </c>
      <c r="L3371">
        <v>4459</v>
      </c>
      <c r="M3371" t="s">
        <v>3918</v>
      </c>
      <c r="N3371" t="str">
        <f>"248030101603"</f>
        <v>248030101603</v>
      </c>
      <c r="O3371" t="str">
        <f>"460103200209060028"</f>
        <v>460103200209060028</v>
      </c>
    </row>
    <row r="3372" customFormat="1" spans="1:15">
      <c r="A3372">
        <v>4460</v>
      </c>
      <c r="B3372" t="s">
        <v>46</v>
      </c>
      <c r="C3372" t="str">
        <f>"430523200104227022"</f>
        <v>430523200104227022</v>
      </c>
      <c r="D3372" t="str">
        <f>"248030301507"</f>
        <v>248030301507</v>
      </c>
      <c r="L3372">
        <v>4460</v>
      </c>
      <c r="M3372" t="s">
        <v>46</v>
      </c>
      <c r="N3372" t="str">
        <f>"248030301507"</f>
        <v>248030301507</v>
      </c>
      <c r="O3372" t="str">
        <f>"430523200104227022"</f>
        <v>430523200104227022</v>
      </c>
    </row>
    <row r="3373" customFormat="1" spans="1:15">
      <c r="A3373">
        <v>4461</v>
      </c>
      <c r="B3373" t="s">
        <v>3919</v>
      </c>
      <c r="C3373" t="str">
        <f>"510781200202010040"</f>
        <v>510781200202010040</v>
      </c>
      <c r="D3373" t="str">
        <f>"248030203430"</f>
        <v>248030203430</v>
      </c>
      <c r="L3373">
        <v>4461</v>
      </c>
      <c r="M3373" t="s">
        <v>3919</v>
      </c>
      <c r="N3373" t="str">
        <f>"248030203430"</f>
        <v>248030203430</v>
      </c>
      <c r="O3373" t="str">
        <f>"510781200202010040"</f>
        <v>510781200202010040</v>
      </c>
    </row>
    <row r="3374" customFormat="1" spans="1:15">
      <c r="A3374">
        <v>4462</v>
      </c>
      <c r="B3374" t="s">
        <v>3920</v>
      </c>
      <c r="C3374" t="str">
        <f>"469003200111141228"</f>
        <v>469003200111141228</v>
      </c>
      <c r="D3374" t="str">
        <f>"248030203201"</f>
        <v>248030203201</v>
      </c>
      <c r="L3374">
        <v>4462</v>
      </c>
      <c r="M3374" t="s">
        <v>3920</v>
      </c>
      <c r="N3374" t="str">
        <f>"248030203201"</f>
        <v>248030203201</v>
      </c>
      <c r="O3374" t="str">
        <f>"469003200111141228"</f>
        <v>469003200111141228</v>
      </c>
    </row>
    <row r="3375" customFormat="1" spans="1:15">
      <c r="A3375">
        <v>4463</v>
      </c>
      <c r="B3375" t="s">
        <v>3921</v>
      </c>
      <c r="C3375" t="str">
        <f>"460036199203080024"</f>
        <v>460036199203080024</v>
      </c>
      <c r="L3375">
        <v>4463</v>
      </c>
      <c r="M3375" t="s">
        <v>3921</v>
      </c>
      <c r="O3375" t="str">
        <f>"460036199203080024"</f>
        <v>460036199203080024</v>
      </c>
    </row>
    <row r="3376" customFormat="1" spans="1:15">
      <c r="A3376">
        <v>4464</v>
      </c>
      <c r="B3376" t="s">
        <v>3922</v>
      </c>
      <c r="C3376" t="str">
        <f>"65010320010812602X"</f>
        <v>65010320010812602X</v>
      </c>
      <c r="L3376">
        <v>4464</v>
      </c>
      <c r="M3376" t="s">
        <v>3922</v>
      </c>
      <c r="O3376" t="str">
        <f>"65010320010812602X"</f>
        <v>65010320010812602X</v>
      </c>
    </row>
    <row r="3377" customFormat="1" spans="1:15">
      <c r="A3377">
        <v>4465</v>
      </c>
      <c r="B3377" t="s">
        <v>2528</v>
      </c>
      <c r="C3377" t="str">
        <f>"460028200004030425"</f>
        <v>460028200004030425</v>
      </c>
      <c r="D3377" t="str">
        <f>"248030403507"</f>
        <v>248030403507</v>
      </c>
      <c r="L3377">
        <v>4465</v>
      </c>
      <c r="M3377" t="s">
        <v>2528</v>
      </c>
      <c r="N3377" t="str">
        <f>"248030403507"</f>
        <v>248030403507</v>
      </c>
      <c r="O3377" t="str">
        <f>"460028200004030425"</f>
        <v>460028200004030425</v>
      </c>
    </row>
    <row r="3378" customFormat="1" spans="1:15">
      <c r="A3378">
        <v>4466</v>
      </c>
      <c r="B3378" t="s">
        <v>3923</v>
      </c>
      <c r="C3378" t="str">
        <f>"460006199910151620"</f>
        <v>460006199910151620</v>
      </c>
      <c r="D3378" t="str">
        <f>"248030104307"</f>
        <v>248030104307</v>
      </c>
      <c r="L3378">
        <v>4466</v>
      </c>
      <c r="M3378" t="s">
        <v>3923</v>
      </c>
      <c r="N3378" t="str">
        <f>"248030104307"</f>
        <v>248030104307</v>
      </c>
      <c r="O3378" t="str">
        <f>"460006199910151620"</f>
        <v>460006199910151620</v>
      </c>
    </row>
    <row r="3379" customFormat="1" spans="1:15">
      <c r="A3379">
        <v>4467</v>
      </c>
      <c r="B3379" t="s">
        <v>3924</v>
      </c>
      <c r="C3379" t="str">
        <f>"460004199904191447"</f>
        <v>460004199904191447</v>
      </c>
      <c r="D3379" t="str">
        <f>"248030100523"</f>
        <v>248030100523</v>
      </c>
      <c r="L3379">
        <v>4467</v>
      </c>
      <c r="M3379" t="s">
        <v>3924</v>
      </c>
      <c r="N3379" t="str">
        <f>"248030100523"</f>
        <v>248030100523</v>
      </c>
      <c r="O3379" t="str">
        <f>"460004199904191447"</f>
        <v>460004199904191447</v>
      </c>
    </row>
    <row r="3380" customFormat="1" spans="1:15">
      <c r="A3380">
        <v>4468</v>
      </c>
      <c r="B3380" t="s">
        <v>3925</v>
      </c>
      <c r="C3380" t="str">
        <f>"460002199802010526"</f>
        <v>460002199802010526</v>
      </c>
      <c r="D3380" t="str">
        <f>"248030102508"</f>
        <v>248030102508</v>
      </c>
      <c r="L3380">
        <v>4468</v>
      </c>
      <c r="M3380" t="s">
        <v>3925</v>
      </c>
      <c r="N3380" t="str">
        <f>"248030102508"</f>
        <v>248030102508</v>
      </c>
      <c r="O3380" t="str">
        <f>"460002199802010526"</f>
        <v>460002199802010526</v>
      </c>
    </row>
    <row r="3381" customFormat="1" spans="1:15">
      <c r="A3381">
        <v>4469</v>
      </c>
      <c r="B3381" t="s">
        <v>3926</v>
      </c>
      <c r="C3381" t="str">
        <f>"460033200204053243"</f>
        <v>460033200204053243</v>
      </c>
      <c r="D3381" t="str">
        <f>"248030500116"</f>
        <v>248030500116</v>
      </c>
      <c r="L3381">
        <v>4469</v>
      </c>
      <c r="M3381" t="s">
        <v>3926</v>
      </c>
      <c r="N3381" t="str">
        <f>"248030500116"</f>
        <v>248030500116</v>
      </c>
      <c r="O3381" t="str">
        <f>"460033200204053243"</f>
        <v>460033200204053243</v>
      </c>
    </row>
    <row r="3382" customFormat="1" spans="1:15">
      <c r="A3382">
        <v>4470</v>
      </c>
      <c r="B3382" t="s">
        <v>3927</v>
      </c>
      <c r="C3382" t="str">
        <f>"372924198501162166"</f>
        <v>372924198501162166</v>
      </c>
      <c r="L3382">
        <v>4470</v>
      </c>
      <c r="M3382" t="s">
        <v>3927</v>
      </c>
      <c r="O3382" t="str">
        <f>"372924198501162166"</f>
        <v>372924198501162166</v>
      </c>
    </row>
    <row r="3383" customFormat="1" spans="1:15">
      <c r="A3383">
        <v>4471</v>
      </c>
      <c r="B3383" t="s">
        <v>3928</v>
      </c>
      <c r="C3383" t="str">
        <f>"410203199811090511"</f>
        <v>410203199811090511</v>
      </c>
      <c r="D3383" t="str">
        <f>"248030201713"</f>
        <v>248030201713</v>
      </c>
      <c r="L3383">
        <v>4471</v>
      </c>
      <c r="M3383" t="s">
        <v>3928</v>
      </c>
      <c r="N3383" t="str">
        <f>"248030201713"</f>
        <v>248030201713</v>
      </c>
      <c r="O3383" t="str">
        <f>"410203199811090511"</f>
        <v>410203199811090511</v>
      </c>
    </row>
    <row r="3384" customFormat="1" spans="1:15">
      <c r="A3384">
        <v>4473</v>
      </c>
      <c r="B3384" t="s">
        <v>3929</v>
      </c>
      <c r="C3384" t="str">
        <f>"460002200002080329"</f>
        <v>460002200002080329</v>
      </c>
      <c r="D3384" t="str">
        <f>"248030300610"</f>
        <v>248030300610</v>
      </c>
      <c r="L3384">
        <v>4473</v>
      </c>
      <c r="M3384" t="s">
        <v>3929</v>
      </c>
      <c r="N3384" t="str">
        <f>"248030300610"</f>
        <v>248030300610</v>
      </c>
      <c r="O3384" t="str">
        <f>"460002200002080329"</f>
        <v>460002200002080329</v>
      </c>
    </row>
    <row r="3385" customFormat="1" spans="1:15">
      <c r="A3385">
        <v>4474</v>
      </c>
      <c r="B3385" t="s">
        <v>3930</v>
      </c>
      <c r="C3385" t="str">
        <f>"460026200007160054"</f>
        <v>460026200007160054</v>
      </c>
      <c r="D3385" t="str">
        <f>"248030402415"</f>
        <v>248030402415</v>
      </c>
      <c r="L3385">
        <v>4474</v>
      </c>
      <c r="M3385" t="s">
        <v>3930</v>
      </c>
      <c r="N3385" t="str">
        <f>"248030402415"</f>
        <v>248030402415</v>
      </c>
      <c r="O3385" t="str">
        <f>"460026200007160054"</f>
        <v>460026200007160054</v>
      </c>
    </row>
    <row r="3386" customFormat="1" spans="1:15">
      <c r="A3386">
        <v>4475</v>
      </c>
      <c r="B3386" t="s">
        <v>3931</v>
      </c>
      <c r="C3386" t="str">
        <f>"460006199910208711"</f>
        <v>460006199910208711</v>
      </c>
      <c r="L3386">
        <v>4475</v>
      </c>
      <c r="M3386" t="s">
        <v>3931</v>
      </c>
      <c r="O3386" t="str">
        <f>"460006199910208711"</f>
        <v>460006199910208711</v>
      </c>
    </row>
    <row r="3387" customFormat="1" spans="1:15">
      <c r="A3387">
        <v>4476</v>
      </c>
      <c r="B3387" t="s">
        <v>3932</v>
      </c>
      <c r="C3387" t="str">
        <f>"431021200106046525"</f>
        <v>431021200106046525</v>
      </c>
      <c r="D3387" t="str">
        <f>"248030201702"</f>
        <v>248030201702</v>
      </c>
      <c r="L3387">
        <v>4476</v>
      </c>
      <c r="M3387" t="s">
        <v>3932</v>
      </c>
      <c r="N3387" t="str">
        <f>"248030201702"</f>
        <v>248030201702</v>
      </c>
      <c r="O3387" t="str">
        <f>"431021200106046525"</f>
        <v>431021200106046525</v>
      </c>
    </row>
    <row r="3388" customFormat="1" spans="1:15">
      <c r="A3388">
        <v>4477</v>
      </c>
      <c r="B3388" t="s">
        <v>3933</v>
      </c>
      <c r="C3388" t="str">
        <f>"513721200004220027"</f>
        <v>513721200004220027</v>
      </c>
      <c r="D3388" t="str">
        <f>"248030401914"</f>
        <v>248030401914</v>
      </c>
      <c r="L3388">
        <v>4477</v>
      </c>
      <c r="M3388" t="s">
        <v>3933</v>
      </c>
      <c r="N3388" t="str">
        <f>"248030401914"</f>
        <v>248030401914</v>
      </c>
      <c r="O3388" t="str">
        <f>"513721200004220027"</f>
        <v>513721200004220027</v>
      </c>
    </row>
    <row r="3389" customFormat="1" spans="1:15">
      <c r="A3389">
        <v>4479</v>
      </c>
      <c r="B3389" t="s">
        <v>3934</v>
      </c>
      <c r="C3389" t="str">
        <f>"460026200103221216"</f>
        <v>460026200103221216</v>
      </c>
      <c r="D3389" t="str">
        <f>"248030301229"</f>
        <v>248030301229</v>
      </c>
      <c r="L3389">
        <v>4479</v>
      </c>
      <c r="M3389" t="s">
        <v>3934</v>
      </c>
      <c r="N3389" t="str">
        <f>"248030301229"</f>
        <v>248030301229</v>
      </c>
      <c r="O3389" t="str">
        <f>"460026200103221216"</f>
        <v>460026200103221216</v>
      </c>
    </row>
    <row r="3390" customFormat="1" spans="1:15">
      <c r="A3390">
        <v>4480</v>
      </c>
      <c r="B3390" t="s">
        <v>3935</v>
      </c>
      <c r="C3390" t="str">
        <f>"460104198801150926"</f>
        <v>460104198801150926</v>
      </c>
      <c r="D3390" t="str">
        <f>"248030301106"</f>
        <v>248030301106</v>
      </c>
      <c r="L3390">
        <v>4480</v>
      </c>
      <c r="M3390" t="s">
        <v>3935</v>
      </c>
      <c r="N3390" t="str">
        <f>"248030301106"</f>
        <v>248030301106</v>
      </c>
      <c r="O3390" t="str">
        <f>"460104198801150926"</f>
        <v>460104198801150926</v>
      </c>
    </row>
    <row r="3391" customFormat="1" spans="1:15">
      <c r="A3391">
        <v>4481</v>
      </c>
      <c r="B3391" t="s">
        <v>3936</v>
      </c>
      <c r="C3391" t="str">
        <f>"460003200007082629"</f>
        <v>460003200007082629</v>
      </c>
      <c r="L3391">
        <v>4481</v>
      </c>
      <c r="M3391" t="s">
        <v>3936</v>
      </c>
      <c r="O3391" t="str">
        <f>"460003200007082629"</f>
        <v>460003200007082629</v>
      </c>
    </row>
    <row r="3392" customFormat="1" spans="1:15">
      <c r="A3392">
        <v>4482</v>
      </c>
      <c r="B3392" t="s">
        <v>3937</v>
      </c>
      <c r="C3392" t="str">
        <f>"460003199604268522"</f>
        <v>460003199604268522</v>
      </c>
      <c r="L3392">
        <v>4482</v>
      </c>
      <c r="M3392" t="s">
        <v>3937</v>
      </c>
      <c r="O3392" t="str">
        <f>"460003199604268522"</f>
        <v>460003199604268522</v>
      </c>
    </row>
    <row r="3393" customFormat="1" spans="1:15">
      <c r="A3393">
        <v>4483</v>
      </c>
      <c r="B3393" t="s">
        <v>560</v>
      </c>
      <c r="C3393" t="str">
        <f>"460005200105094327"</f>
        <v>460005200105094327</v>
      </c>
      <c r="D3393" t="str">
        <f>"248030302517"</f>
        <v>248030302517</v>
      </c>
      <c r="L3393">
        <v>4483</v>
      </c>
      <c r="M3393" t="s">
        <v>560</v>
      </c>
      <c r="N3393" t="str">
        <f>"248030302517"</f>
        <v>248030302517</v>
      </c>
      <c r="O3393" t="str">
        <f>"460005200105094327"</f>
        <v>460005200105094327</v>
      </c>
    </row>
    <row r="3394" customFormat="1" spans="1:15">
      <c r="A3394">
        <v>4484</v>
      </c>
      <c r="B3394" t="s">
        <v>3938</v>
      </c>
      <c r="C3394" t="str">
        <f>"230230200112180420"</f>
        <v>230230200112180420</v>
      </c>
      <c r="L3394">
        <v>4484</v>
      </c>
      <c r="M3394" t="s">
        <v>3938</v>
      </c>
      <c r="O3394" t="str">
        <f>"230230200112180420"</f>
        <v>230230200112180420</v>
      </c>
    </row>
    <row r="3395" customFormat="1" spans="1:15">
      <c r="A3395">
        <v>4486</v>
      </c>
      <c r="B3395" t="s">
        <v>3939</v>
      </c>
      <c r="C3395" t="str">
        <f>"640104200109050623"</f>
        <v>640104200109050623</v>
      </c>
      <c r="D3395" t="str">
        <f>"248030203817"</f>
        <v>248030203817</v>
      </c>
      <c r="L3395">
        <v>4486</v>
      </c>
      <c r="M3395" t="s">
        <v>3939</v>
      </c>
      <c r="N3395" t="str">
        <f>"248030203817"</f>
        <v>248030203817</v>
      </c>
      <c r="O3395" t="str">
        <f>"640104200109050623"</f>
        <v>640104200109050623</v>
      </c>
    </row>
    <row r="3396" customFormat="1" spans="1:15">
      <c r="A3396">
        <v>4487</v>
      </c>
      <c r="B3396" t="s">
        <v>630</v>
      </c>
      <c r="C3396" t="str">
        <f>"460003199406300026"</f>
        <v>460003199406300026</v>
      </c>
      <c r="D3396" t="str">
        <f>"248030104216"</f>
        <v>248030104216</v>
      </c>
      <c r="L3396">
        <v>4487</v>
      </c>
      <c r="M3396" t="s">
        <v>630</v>
      </c>
      <c r="N3396" t="str">
        <f>"248030104216"</f>
        <v>248030104216</v>
      </c>
      <c r="O3396" t="str">
        <f>"460003199406300026"</f>
        <v>460003199406300026</v>
      </c>
    </row>
    <row r="3397" customFormat="1" spans="1:15">
      <c r="A3397">
        <v>4489</v>
      </c>
      <c r="B3397" t="s">
        <v>3940</v>
      </c>
      <c r="C3397" t="str">
        <f>"445122200102102021"</f>
        <v>445122200102102021</v>
      </c>
      <c r="D3397" t="str">
        <f>"248030102211"</f>
        <v>248030102211</v>
      </c>
      <c r="L3397">
        <v>4489</v>
      </c>
      <c r="M3397" t="s">
        <v>3940</v>
      </c>
      <c r="N3397" t="str">
        <f>"248030102211"</f>
        <v>248030102211</v>
      </c>
      <c r="O3397" t="str">
        <f>"445122200102102021"</f>
        <v>445122200102102021</v>
      </c>
    </row>
    <row r="3398" customFormat="1" spans="1:15">
      <c r="A3398">
        <v>4490</v>
      </c>
      <c r="B3398" t="s">
        <v>3941</v>
      </c>
      <c r="C3398" t="str">
        <f>"46003320020811148X"</f>
        <v>46003320020811148X</v>
      </c>
      <c r="D3398" t="str">
        <f>"248030403029"</f>
        <v>248030403029</v>
      </c>
      <c r="L3398">
        <v>4490</v>
      </c>
      <c r="M3398" t="s">
        <v>3941</v>
      </c>
      <c r="N3398" t="str">
        <f>"248030403029"</f>
        <v>248030403029</v>
      </c>
      <c r="O3398" t="str">
        <f>"46003320020811148X"</f>
        <v>46003320020811148X</v>
      </c>
    </row>
    <row r="3399" customFormat="1" spans="1:15">
      <c r="A3399">
        <v>4491</v>
      </c>
      <c r="B3399" t="s">
        <v>3942</v>
      </c>
      <c r="C3399" t="str">
        <f>"46002819970201083X"</f>
        <v>46002819970201083X</v>
      </c>
      <c r="L3399">
        <v>4491</v>
      </c>
      <c r="M3399" t="s">
        <v>3942</v>
      </c>
      <c r="O3399" t="str">
        <f>"46002819970201083X"</f>
        <v>46002819970201083X</v>
      </c>
    </row>
    <row r="3400" customFormat="1" spans="1:15">
      <c r="A3400">
        <v>4493</v>
      </c>
      <c r="B3400" t="s">
        <v>3943</v>
      </c>
      <c r="C3400" t="str">
        <f>"460006200101101629"</f>
        <v>460006200101101629</v>
      </c>
      <c r="L3400">
        <v>4493</v>
      </c>
      <c r="M3400" t="s">
        <v>3943</v>
      </c>
      <c r="O3400" t="str">
        <f>"460006200101101629"</f>
        <v>460006200101101629</v>
      </c>
    </row>
    <row r="3401" customFormat="1" spans="1:15">
      <c r="A3401">
        <v>4494</v>
      </c>
      <c r="B3401" t="s">
        <v>3944</v>
      </c>
      <c r="C3401" t="str">
        <f>"620524199812203300"</f>
        <v>620524199812203300</v>
      </c>
      <c r="D3401" t="str">
        <f>"248030203609"</f>
        <v>248030203609</v>
      </c>
      <c r="L3401">
        <v>4494</v>
      </c>
      <c r="M3401" t="s">
        <v>3944</v>
      </c>
      <c r="N3401" t="str">
        <f>"248030203609"</f>
        <v>248030203609</v>
      </c>
      <c r="O3401" t="str">
        <f>"620524199812203300"</f>
        <v>620524199812203300</v>
      </c>
    </row>
    <row r="3402" customFormat="1" spans="1:15">
      <c r="A3402">
        <v>4495</v>
      </c>
      <c r="B3402" t="s">
        <v>3945</v>
      </c>
      <c r="C3402" t="str">
        <f>"460003200009123228"</f>
        <v>460003200009123228</v>
      </c>
      <c r="D3402" t="str">
        <f>"248030203305"</f>
        <v>248030203305</v>
      </c>
      <c r="L3402">
        <v>4495</v>
      </c>
      <c r="M3402" t="s">
        <v>3945</v>
      </c>
      <c r="N3402" t="str">
        <f>"248030203305"</f>
        <v>248030203305</v>
      </c>
      <c r="O3402" t="str">
        <f>"460003200009123228"</f>
        <v>460003200009123228</v>
      </c>
    </row>
    <row r="3403" customFormat="1" spans="1:15">
      <c r="A3403">
        <v>4496</v>
      </c>
      <c r="B3403" t="s">
        <v>3946</v>
      </c>
      <c r="C3403" t="str">
        <f>"460034199606165521"</f>
        <v>460034199606165521</v>
      </c>
      <c r="D3403" t="str">
        <f>"248030301703"</f>
        <v>248030301703</v>
      </c>
      <c r="L3403">
        <v>4496</v>
      </c>
      <c r="M3403" t="s">
        <v>3946</v>
      </c>
      <c r="N3403" t="str">
        <f>"248030301703"</f>
        <v>248030301703</v>
      </c>
      <c r="O3403" t="str">
        <f>"460034199606165521"</f>
        <v>460034199606165521</v>
      </c>
    </row>
    <row r="3404" customFormat="1" spans="1:15">
      <c r="A3404">
        <v>4497</v>
      </c>
      <c r="B3404" t="s">
        <v>3947</v>
      </c>
      <c r="C3404" t="str">
        <f>"460200200108160026"</f>
        <v>460200200108160026</v>
      </c>
      <c r="D3404" t="str">
        <f>"248030103604"</f>
        <v>248030103604</v>
      </c>
      <c r="L3404">
        <v>4497</v>
      </c>
      <c r="M3404" t="s">
        <v>3947</v>
      </c>
      <c r="N3404" t="str">
        <f>"248030103604"</f>
        <v>248030103604</v>
      </c>
      <c r="O3404" t="str">
        <f>"460200200108160026"</f>
        <v>460200200108160026</v>
      </c>
    </row>
    <row r="3405" customFormat="1" spans="1:15">
      <c r="A3405">
        <v>4499</v>
      </c>
      <c r="B3405" t="s">
        <v>3948</v>
      </c>
      <c r="C3405" t="str">
        <f>"460006200203200628"</f>
        <v>460006200203200628</v>
      </c>
      <c r="D3405" t="str">
        <f>"248030401605"</f>
        <v>248030401605</v>
      </c>
      <c r="L3405">
        <v>4499</v>
      </c>
      <c r="M3405" t="s">
        <v>3948</v>
      </c>
      <c r="N3405" t="str">
        <f>"248030401605"</f>
        <v>248030401605</v>
      </c>
      <c r="O3405" t="str">
        <f>"460006200203200628"</f>
        <v>460006200203200628</v>
      </c>
    </row>
    <row r="3406" customFormat="1" spans="1:15">
      <c r="A3406">
        <v>4500</v>
      </c>
      <c r="B3406" t="s">
        <v>3949</v>
      </c>
      <c r="C3406" t="str">
        <f>"460028200210040827"</f>
        <v>460028200210040827</v>
      </c>
      <c r="D3406" t="str">
        <f>"248030504006"</f>
        <v>248030504006</v>
      </c>
      <c r="L3406">
        <v>4500</v>
      </c>
      <c r="M3406" t="s">
        <v>3949</v>
      </c>
      <c r="N3406" t="str">
        <f>"248030504006"</f>
        <v>248030504006</v>
      </c>
      <c r="O3406" t="str">
        <f>"460028200210040827"</f>
        <v>460028200210040827</v>
      </c>
    </row>
    <row r="3407" customFormat="1" spans="1:15">
      <c r="A3407">
        <v>4501</v>
      </c>
      <c r="B3407" t="s">
        <v>390</v>
      </c>
      <c r="C3407" t="str">
        <f>"460103198911203025"</f>
        <v>460103198911203025</v>
      </c>
      <c r="D3407" t="str">
        <f>"248030300304"</f>
        <v>248030300304</v>
      </c>
      <c r="L3407">
        <v>4501</v>
      </c>
      <c r="M3407" t="s">
        <v>390</v>
      </c>
      <c r="N3407" t="str">
        <f>"248030300304"</f>
        <v>248030300304</v>
      </c>
      <c r="O3407" t="str">
        <f>"460103198911203025"</f>
        <v>460103198911203025</v>
      </c>
    </row>
    <row r="3408" customFormat="1" spans="1:15">
      <c r="A3408">
        <v>4503</v>
      </c>
      <c r="B3408" t="s">
        <v>3950</v>
      </c>
      <c r="C3408" t="str">
        <f>"460200200004121209"</f>
        <v>460200200004121209</v>
      </c>
      <c r="D3408" t="str">
        <f>"248030400424"</f>
        <v>248030400424</v>
      </c>
      <c r="L3408">
        <v>4503</v>
      </c>
      <c r="M3408" t="s">
        <v>3950</v>
      </c>
      <c r="N3408" t="str">
        <f>"248030400424"</f>
        <v>248030400424</v>
      </c>
      <c r="O3408" t="str">
        <f>"460200200004121209"</f>
        <v>460200200004121209</v>
      </c>
    </row>
    <row r="3409" customFormat="1" spans="1:15">
      <c r="A3409">
        <v>4504</v>
      </c>
      <c r="B3409" t="s">
        <v>3951</v>
      </c>
      <c r="C3409" t="str">
        <f>"452402200004140024"</f>
        <v>452402200004140024</v>
      </c>
      <c r="D3409" t="str">
        <f>"248030101807"</f>
        <v>248030101807</v>
      </c>
      <c r="L3409">
        <v>4504</v>
      </c>
      <c r="M3409" t="s">
        <v>3951</v>
      </c>
      <c r="N3409" t="str">
        <f>"248030101807"</f>
        <v>248030101807</v>
      </c>
      <c r="O3409" t="str">
        <f>"452402200004140024"</f>
        <v>452402200004140024</v>
      </c>
    </row>
    <row r="3410" customFormat="1" spans="1:15">
      <c r="A3410">
        <v>4505</v>
      </c>
      <c r="B3410" t="s">
        <v>3952</v>
      </c>
      <c r="C3410" t="str">
        <f>"460027200011293729"</f>
        <v>460027200011293729</v>
      </c>
      <c r="D3410" t="str">
        <f>"248030103424"</f>
        <v>248030103424</v>
      </c>
      <c r="L3410">
        <v>4505</v>
      </c>
      <c r="M3410" t="s">
        <v>3952</v>
      </c>
      <c r="N3410" t="str">
        <f>"248030103424"</f>
        <v>248030103424</v>
      </c>
      <c r="O3410" t="str">
        <f>"460027200011293729"</f>
        <v>460027200011293729</v>
      </c>
    </row>
    <row r="3411" customFormat="1" spans="1:15">
      <c r="A3411">
        <v>4506</v>
      </c>
      <c r="B3411" t="s">
        <v>3953</v>
      </c>
      <c r="C3411" t="str">
        <f>"460028200208287628"</f>
        <v>460028200208287628</v>
      </c>
      <c r="L3411">
        <v>4506</v>
      </c>
      <c r="M3411" t="s">
        <v>3953</v>
      </c>
      <c r="O3411" t="str">
        <f>"460028200208287628"</f>
        <v>460028200208287628</v>
      </c>
    </row>
    <row r="3412" customFormat="1" spans="1:15">
      <c r="A3412">
        <v>4507</v>
      </c>
      <c r="B3412" t="s">
        <v>3954</v>
      </c>
      <c r="C3412" t="str">
        <f>"44088119960710598X"</f>
        <v>44088119960710598X</v>
      </c>
      <c r="D3412" t="str">
        <f>"248030100127"</f>
        <v>248030100127</v>
      </c>
      <c r="L3412">
        <v>4507</v>
      </c>
      <c r="M3412" t="s">
        <v>3954</v>
      </c>
      <c r="N3412" t="str">
        <f>"248030100127"</f>
        <v>248030100127</v>
      </c>
      <c r="O3412" t="str">
        <f>"44088119960710598X"</f>
        <v>44088119960710598X</v>
      </c>
    </row>
    <row r="3413" customFormat="1" spans="1:15">
      <c r="A3413">
        <v>4508</v>
      </c>
      <c r="B3413" t="s">
        <v>3955</v>
      </c>
      <c r="C3413" t="str">
        <f>"460102199802041221"</f>
        <v>460102199802041221</v>
      </c>
      <c r="D3413" t="str">
        <f>"248030202721"</f>
        <v>248030202721</v>
      </c>
      <c r="L3413">
        <v>4508</v>
      </c>
      <c r="M3413" t="s">
        <v>3955</v>
      </c>
      <c r="N3413" t="str">
        <f>"248030202721"</f>
        <v>248030202721</v>
      </c>
      <c r="O3413" t="str">
        <f>"460102199802041221"</f>
        <v>460102199802041221</v>
      </c>
    </row>
    <row r="3414" customFormat="1" spans="1:15">
      <c r="A3414">
        <v>4510</v>
      </c>
      <c r="B3414" t="s">
        <v>3956</v>
      </c>
      <c r="C3414" t="str">
        <f>"445281200212062740"</f>
        <v>445281200212062740</v>
      </c>
      <c r="D3414" t="str">
        <f>"248030202826"</f>
        <v>248030202826</v>
      </c>
      <c r="L3414">
        <v>4510</v>
      </c>
      <c r="M3414" t="s">
        <v>3956</v>
      </c>
      <c r="N3414" t="str">
        <f>"248030202826"</f>
        <v>248030202826</v>
      </c>
      <c r="O3414" t="str">
        <f>"445281200212062740"</f>
        <v>445281200212062740</v>
      </c>
    </row>
    <row r="3415" customFormat="1" spans="1:15">
      <c r="A3415">
        <v>4512</v>
      </c>
      <c r="B3415" t="s">
        <v>3957</v>
      </c>
      <c r="C3415" t="str">
        <f>"460002199812064624"</f>
        <v>460002199812064624</v>
      </c>
      <c r="D3415" t="str">
        <f>"248030500821"</f>
        <v>248030500821</v>
      </c>
      <c r="L3415">
        <v>4512</v>
      </c>
      <c r="M3415" t="s">
        <v>3957</v>
      </c>
      <c r="N3415" t="str">
        <f>"248030500821"</f>
        <v>248030500821</v>
      </c>
      <c r="O3415" t="str">
        <f>"460002199812064624"</f>
        <v>460002199812064624</v>
      </c>
    </row>
    <row r="3416" customFormat="1" spans="1:15">
      <c r="A3416">
        <v>4513</v>
      </c>
      <c r="B3416" t="s">
        <v>3958</v>
      </c>
      <c r="C3416" t="str">
        <f>"232302199506037324"</f>
        <v>232302199506037324</v>
      </c>
      <c r="D3416" t="str">
        <f>"248030502008"</f>
        <v>248030502008</v>
      </c>
      <c r="L3416">
        <v>4513</v>
      </c>
      <c r="M3416" t="s">
        <v>3958</v>
      </c>
      <c r="N3416" t="str">
        <f>"248030502008"</f>
        <v>248030502008</v>
      </c>
      <c r="O3416" t="str">
        <f>"232302199506037324"</f>
        <v>232302199506037324</v>
      </c>
    </row>
    <row r="3417" customFormat="1" spans="1:15">
      <c r="A3417">
        <v>4514</v>
      </c>
      <c r="B3417" t="s">
        <v>3959</v>
      </c>
      <c r="C3417" t="str">
        <f>"430223200004162210"</f>
        <v>430223200004162210</v>
      </c>
      <c r="D3417" t="str">
        <f>"248030201916"</f>
        <v>248030201916</v>
      </c>
      <c r="L3417">
        <v>4514</v>
      </c>
      <c r="M3417" t="s">
        <v>3959</v>
      </c>
      <c r="N3417" t="str">
        <f>"248030201916"</f>
        <v>248030201916</v>
      </c>
      <c r="O3417" t="str">
        <f>"430223200004162210"</f>
        <v>430223200004162210</v>
      </c>
    </row>
    <row r="3418" customFormat="1" spans="1:15">
      <c r="A3418">
        <v>4515</v>
      </c>
      <c r="B3418" t="s">
        <v>3960</v>
      </c>
      <c r="C3418" t="str">
        <f>"46000319961105352X"</f>
        <v>46000319961105352X</v>
      </c>
      <c r="L3418">
        <v>4515</v>
      </c>
      <c r="M3418" t="s">
        <v>3960</v>
      </c>
      <c r="O3418" t="str">
        <f>"46000319961105352X"</f>
        <v>46000319961105352X</v>
      </c>
    </row>
    <row r="3419" customFormat="1" spans="1:15">
      <c r="A3419">
        <v>4516</v>
      </c>
      <c r="B3419" t="s">
        <v>3961</v>
      </c>
      <c r="C3419" t="str">
        <f>"460103200207111223"</f>
        <v>460103200207111223</v>
      </c>
      <c r="D3419" t="str">
        <f>"248030101616"</f>
        <v>248030101616</v>
      </c>
      <c r="L3419">
        <v>4516</v>
      </c>
      <c r="M3419" t="s">
        <v>3961</v>
      </c>
      <c r="N3419" t="str">
        <f>"248030101616"</f>
        <v>248030101616</v>
      </c>
      <c r="O3419" t="str">
        <f>"460103200207111223"</f>
        <v>460103200207111223</v>
      </c>
    </row>
    <row r="3420" customFormat="1" spans="1:15">
      <c r="A3420">
        <v>4517</v>
      </c>
      <c r="B3420" t="s">
        <v>3962</v>
      </c>
      <c r="C3420" t="str">
        <f>"460028200103276404"</f>
        <v>460028200103276404</v>
      </c>
      <c r="D3420" t="str">
        <f>"248030503802"</f>
        <v>248030503802</v>
      </c>
      <c r="L3420">
        <v>4517</v>
      </c>
      <c r="M3420" t="s">
        <v>3962</v>
      </c>
      <c r="N3420" t="str">
        <f>"248030503802"</f>
        <v>248030503802</v>
      </c>
      <c r="O3420" t="str">
        <f>"460028200103276404"</f>
        <v>460028200103276404</v>
      </c>
    </row>
    <row r="3421" customFormat="1" spans="1:15">
      <c r="A3421">
        <v>4519</v>
      </c>
      <c r="B3421" t="s">
        <v>3963</v>
      </c>
      <c r="C3421" t="str">
        <f>"460025199409055124"</f>
        <v>460025199409055124</v>
      </c>
      <c r="D3421" t="str">
        <f>"248030403220"</f>
        <v>248030403220</v>
      </c>
      <c r="L3421">
        <v>4519</v>
      </c>
      <c r="M3421" t="s">
        <v>3963</v>
      </c>
      <c r="N3421" t="str">
        <f>"248030403220"</f>
        <v>248030403220</v>
      </c>
      <c r="O3421" t="str">
        <f>"460025199409055124"</f>
        <v>460025199409055124</v>
      </c>
    </row>
    <row r="3422" customFormat="1" spans="1:15">
      <c r="A3422">
        <v>4520</v>
      </c>
      <c r="B3422" t="s">
        <v>3964</v>
      </c>
      <c r="C3422" t="str">
        <f>"412727199712200420"</f>
        <v>412727199712200420</v>
      </c>
      <c r="D3422" t="str">
        <f>"248030500626"</f>
        <v>248030500626</v>
      </c>
      <c r="L3422">
        <v>4520</v>
      </c>
      <c r="M3422" t="s">
        <v>3964</v>
      </c>
      <c r="N3422" t="str">
        <f>"248030500626"</f>
        <v>248030500626</v>
      </c>
      <c r="O3422" t="str">
        <f>"412727199712200420"</f>
        <v>412727199712200420</v>
      </c>
    </row>
    <row r="3423" customFormat="1" spans="1:15">
      <c r="A3423">
        <v>4521</v>
      </c>
      <c r="B3423" t="s">
        <v>356</v>
      </c>
      <c r="C3423" t="str">
        <f>"460200199201282081"</f>
        <v>460200199201282081</v>
      </c>
      <c r="D3423" t="str">
        <f>"248030402522"</f>
        <v>248030402522</v>
      </c>
      <c r="L3423">
        <v>4521</v>
      </c>
      <c r="M3423" t="s">
        <v>356</v>
      </c>
      <c r="N3423" t="str">
        <f>"248030402522"</f>
        <v>248030402522</v>
      </c>
      <c r="O3423" t="str">
        <f>"460200199201282081"</f>
        <v>460200199201282081</v>
      </c>
    </row>
    <row r="3424" customFormat="1" spans="1:15">
      <c r="A3424">
        <v>4523</v>
      </c>
      <c r="B3424" t="s">
        <v>3965</v>
      </c>
      <c r="C3424" t="str">
        <f>"460005199803135127"</f>
        <v>460005199803135127</v>
      </c>
      <c r="D3424" t="str">
        <f>"248030102328"</f>
        <v>248030102328</v>
      </c>
      <c r="L3424">
        <v>4523</v>
      </c>
      <c r="M3424" t="s">
        <v>3965</v>
      </c>
      <c r="N3424" t="str">
        <f>"248030102328"</f>
        <v>248030102328</v>
      </c>
      <c r="O3424" t="str">
        <f>"460005199803135127"</f>
        <v>460005199803135127</v>
      </c>
    </row>
    <row r="3425" customFormat="1" spans="1:15">
      <c r="A3425">
        <v>4524</v>
      </c>
      <c r="B3425" t="s">
        <v>3966</v>
      </c>
      <c r="C3425" t="str">
        <f>"460004200112230634"</f>
        <v>460004200112230634</v>
      </c>
      <c r="D3425" t="str">
        <f>"248030503310"</f>
        <v>248030503310</v>
      </c>
      <c r="L3425">
        <v>4524</v>
      </c>
      <c r="M3425" t="s">
        <v>3966</v>
      </c>
      <c r="N3425" t="str">
        <f>"248030503310"</f>
        <v>248030503310</v>
      </c>
      <c r="O3425" t="str">
        <f>"460004200112230634"</f>
        <v>460004200112230634</v>
      </c>
    </row>
    <row r="3426" customFormat="1" spans="1:15">
      <c r="A3426">
        <v>4526</v>
      </c>
      <c r="B3426" t="s">
        <v>3967</v>
      </c>
      <c r="C3426" t="str">
        <f>"46002720001013622X"</f>
        <v>46002720001013622X</v>
      </c>
      <c r="D3426" t="str">
        <f>"248030402027"</f>
        <v>248030402027</v>
      </c>
      <c r="L3426">
        <v>4526</v>
      </c>
      <c r="M3426" t="s">
        <v>3967</v>
      </c>
      <c r="N3426" t="str">
        <f>"248030402027"</f>
        <v>248030402027</v>
      </c>
      <c r="O3426" t="str">
        <f>"46002720001013622X"</f>
        <v>46002720001013622X</v>
      </c>
    </row>
    <row r="3427" customFormat="1" spans="1:15">
      <c r="A3427">
        <v>4527</v>
      </c>
      <c r="B3427" t="s">
        <v>3968</v>
      </c>
      <c r="C3427" t="str">
        <f>"460003199512033224"</f>
        <v>460003199512033224</v>
      </c>
      <c r="D3427" t="str">
        <f>"248030502304"</f>
        <v>248030502304</v>
      </c>
      <c r="L3427">
        <v>4527</v>
      </c>
      <c r="M3427" t="s">
        <v>3968</v>
      </c>
      <c r="N3427" t="str">
        <f>"248030502304"</f>
        <v>248030502304</v>
      </c>
      <c r="O3427" t="str">
        <f>"460003199512033224"</f>
        <v>460003199512033224</v>
      </c>
    </row>
    <row r="3428" customFormat="1" spans="1:15">
      <c r="A3428">
        <v>4528</v>
      </c>
      <c r="B3428" t="s">
        <v>3969</v>
      </c>
      <c r="C3428" t="str">
        <f>"452226200209193314"</f>
        <v>452226200209193314</v>
      </c>
      <c r="D3428" t="str">
        <f>"248030400719"</f>
        <v>248030400719</v>
      </c>
      <c r="L3428">
        <v>4528</v>
      </c>
      <c r="M3428" t="s">
        <v>3969</v>
      </c>
      <c r="N3428" t="str">
        <f>"248030400719"</f>
        <v>248030400719</v>
      </c>
      <c r="O3428" t="str">
        <f>"452226200209193314"</f>
        <v>452226200209193314</v>
      </c>
    </row>
    <row r="3429" customFormat="1" spans="1:15">
      <c r="A3429">
        <v>4529</v>
      </c>
      <c r="B3429" t="s">
        <v>3970</v>
      </c>
      <c r="C3429" t="str">
        <f>"460007199712090421"</f>
        <v>460007199712090421</v>
      </c>
      <c r="D3429" t="str">
        <f>"248030500525"</f>
        <v>248030500525</v>
      </c>
      <c r="L3429">
        <v>4529</v>
      </c>
      <c r="M3429" t="s">
        <v>3970</v>
      </c>
      <c r="N3429" t="str">
        <f>"248030500525"</f>
        <v>248030500525</v>
      </c>
      <c r="O3429" t="str">
        <f>"460007199712090421"</f>
        <v>460007199712090421</v>
      </c>
    </row>
    <row r="3430" customFormat="1" spans="1:15">
      <c r="A3430">
        <v>4530</v>
      </c>
      <c r="B3430" t="s">
        <v>3971</v>
      </c>
      <c r="C3430" t="str">
        <f>"460200198506300047"</f>
        <v>460200198506300047</v>
      </c>
      <c r="D3430" t="str">
        <f>"248030200307"</f>
        <v>248030200307</v>
      </c>
      <c r="L3430">
        <v>4530</v>
      </c>
      <c r="M3430" t="s">
        <v>3971</v>
      </c>
      <c r="N3430" t="str">
        <f>"248030200307"</f>
        <v>248030200307</v>
      </c>
      <c r="O3430" t="str">
        <f>"460200198506300047"</f>
        <v>460200198506300047</v>
      </c>
    </row>
    <row r="3431" customFormat="1" spans="1:15">
      <c r="A3431">
        <v>4531</v>
      </c>
      <c r="B3431" t="s">
        <v>103</v>
      </c>
      <c r="C3431" t="str">
        <f>"130125199202010040"</f>
        <v>130125199202010040</v>
      </c>
      <c r="D3431" t="str">
        <f>"248030502209"</f>
        <v>248030502209</v>
      </c>
      <c r="L3431">
        <v>4531</v>
      </c>
      <c r="M3431" t="s">
        <v>103</v>
      </c>
      <c r="N3431" t="str">
        <f>"248030502209"</f>
        <v>248030502209</v>
      </c>
      <c r="O3431" t="str">
        <f>"130125199202010040"</f>
        <v>130125199202010040</v>
      </c>
    </row>
    <row r="3432" customFormat="1" spans="1:15">
      <c r="A3432">
        <v>4532</v>
      </c>
      <c r="B3432" t="s">
        <v>302</v>
      </c>
      <c r="C3432" t="str">
        <f>"231084198811092429"</f>
        <v>231084198811092429</v>
      </c>
      <c r="D3432" t="str">
        <f>"248030500723"</f>
        <v>248030500723</v>
      </c>
      <c r="L3432">
        <v>4532</v>
      </c>
      <c r="M3432" t="s">
        <v>302</v>
      </c>
      <c r="N3432" t="str">
        <f>"248030500723"</f>
        <v>248030500723</v>
      </c>
      <c r="O3432" t="str">
        <f>"231084198811092429"</f>
        <v>231084198811092429</v>
      </c>
    </row>
    <row r="3433" customFormat="1" spans="1:15">
      <c r="A3433">
        <v>4533</v>
      </c>
      <c r="B3433" t="s">
        <v>3972</v>
      </c>
      <c r="C3433" t="str">
        <f>"460006199702092320"</f>
        <v>460006199702092320</v>
      </c>
      <c r="D3433" t="str">
        <f>"248030100526"</f>
        <v>248030100526</v>
      </c>
      <c r="L3433">
        <v>4533</v>
      </c>
      <c r="M3433" t="s">
        <v>3972</v>
      </c>
      <c r="N3433" t="str">
        <f>"248030100526"</f>
        <v>248030100526</v>
      </c>
      <c r="O3433" t="str">
        <f>"460006199702092320"</f>
        <v>460006199702092320</v>
      </c>
    </row>
    <row r="3434" customFormat="1" spans="1:15">
      <c r="A3434">
        <v>4535</v>
      </c>
      <c r="B3434" t="s">
        <v>3973</v>
      </c>
      <c r="C3434" t="str">
        <f>"469024200112072035"</f>
        <v>469024200112072035</v>
      </c>
      <c r="D3434" t="str">
        <f>"248030300218"</f>
        <v>248030300218</v>
      </c>
      <c r="L3434">
        <v>4535</v>
      </c>
      <c r="M3434" t="s">
        <v>3973</v>
      </c>
      <c r="N3434" t="str">
        <f>"248030300218"</f>
        <v>248030300218</v>
      </c>
      <c r="O3434" t="str">
        <f>"469024200112072035"</f>
        <v>469024200112072035</v>
      </c>
    </row>
    <row r="3435" customFormat="1" spans="1:15">
      <c r="A3435">
        <v>4536</v>
      </c>
      <c r="B3435" t="s">
        <v>3974</v>
      </c>
      <c r="C3435" t="str">
        <f>"220702198801235044"</f>
        <v>220702198801235044</v>
      </c>
      <c r="L3435">
        <v>4536</v>
      </c>
      <c r="M3435" t="s">
        <v>3974</v>
      </c>
      <c r="O3435" t="str">
        <f>"220702198801235044"</f>
        <v>220702198801235044</v>
      </c>
    </row>
    <row r="3436" customFormat="1" spans="1:15">
      <c r="A3436">
        <v>4537</v>
      </c>
      <c r="B3436" t="s">
        <v>3975</v>
      </c>
      <c r="C3436" t="str">
        <f>"460003200110273319"</f>
        <v>460003200110273319</v>
      </c>
      <c r="D3436" t="str">
        <f>"248030504013"</f>
        <v>248030504013</v>
      </c>
      <c r="L3436">
        <v>4537</v>
      </c>
      <c r="M3436" t="s">
        <v>3975</v>
      </c>
      <c r="N3436" t="str">
        <f>"248030504013"</f>
        <v>248030504013</v>
      </c>
      <c r="O3436" t="str">
        <f>"460003200110273319"</f>
        <v>460003200110273319</v>
      </c>
    </row>
    <row r="3437" customFormat="1" spans="1:15">
      <c r="A3437">
        <v>4538</v>
      </c>
      <c r="B3437" t="s">
        <v>3976</v>
      </c>
      <c r="C3437" t="str">
        <f>"460025199112262747"</f>
        <v>460025199112262747</v>
      </c>
      <c r="L3437">
        <v>4538</v>
      </c>
      <c r="M3437" t="s">
        <v>3976</v>
      </c>
      <c r="O3437" t="str">
        <f>"460025199112262747"</f>
        <v>460025199112262747</v>
      </c>
    </row>
    <row r="3438" customFormat="1" spans="1:15">
      <c r="A3438">
        <v>4539</v>
      </c>
      <c r="B3438" t="s">
        <v>3977</v>
      </c>
      <c r="C3438" t="str">
        <f>"460006200109033122"</f>
        <v>460006200109033122</v>
      </c>
      <c r="D3438" t="str">
        <f>"248030100813"</f>
        <v>248030100813</v>
      </c>
      <c r="L3438">
        <v>4539</v>
      </c>
      <c r="M3438" t="s">
        <v>3977</v>
      </c>
      <c r="N3438" t="str">
        <f>"248030100813"</f>
        <v>248030100813</v>
      </c>
      <c r="O3438" t="str">
        <f>"460006200109033122"</f>
        <v>460006200109033122</v>
      </c>
    </row>
    <row r="3439" customFormat="1" spans="1:15">
      <c r="A3439">
        <v>4540</v>
      </c>
      <c r="B3439" t="s">
        <v>2467</v>
      </c>
      <c r="C3439" t="str">
        <f>"622225198503040023"</f>
        <v>622225198503040023</v>
      </c>
      <c r="D3439" t="str">
        <f>"248030102810"</f>
        <v>248030102810</v>
      </c>
      <c r="L3439">
        <v>4540</v>
      </c>
      <c r="M3439" t="s">
        <v>2467</v>
      </c>
      <c r="N3439" t="str">
        <f>"248030102810"</f>
        <v>248030102810</v>
      </c>
      <c r="O3439" t="str">
        <f>"622225198503040023"</f>
        <v>622225198503040023</v>
      </c>
    </row>
    <row r="3440" customFormat="1" spans="1:15">
      <c r="A3440">
        <v>4541</v>
      </c>
      <c r="B3440" t="s">
        <v>3978</v>
      </c>
      <c r="C3440" t="str">
        <f>"46902420001231042X"</f>
        <v>46902420001231042X</v>
      </c>
      <c r="D3440" t="str">
        <f>"248030501221"</f>
        <v>248030501221</v>
      </c>
      <c r="L3440">
        <v>4541</v>
      </c>
      <c r="M3440" t="s">
        <v>3978</v>
      </c>
      <c r="N3440" t="str">
        <f>"248030501221"</f>
        <v>248030501221</v>
      </c>
      <c r="O3440" t="str">
        <f>"46902420001231042X"</f>
        <v>46902420001231042X</v>
      </c>
    </row>
    <row r="3441" customFormat="1" spans="1:15">
      <c r="A3441">
        <v>4542</v>
      </c>
      <c r="B3441" t="s">
        <v>3979</v>
      </c>
      <c r="C3441" t="str">
        <f>"460033200012087481"</f>
        <v>460033200012087481</v>
      </c>
      <c r="D3441" t="str">
        <f>"248030400218"</f>
        <v>248030400218</v>
      </c>
      <c r="L3441">
        <v>4542</v>
      </c>
      <c r="M3441" t="s">
        <v>3979</v>
      </c>
      <c r="N3441" t="str">
        <f>"248030400218"</f>
        <v>248030400218</v>
      </c>
      <c r="O3441" t="str">
        <f>"460033200012087481"</f>
        <v>460033200012087481</v>
      </c>
    </row>
    <row r="3442" customFormat="1" spans="1:15">
      <c r="A3442">
        <v>4543</v>
      </c>
      <c r="B3442" t="s">
        <v>3980</v>
      </c>
      <c r="C3442" t="str">
        <f>"460003199402122824"</f>
        <v>460003199402122824</v>
      </c>
      <c r="D3442" t="str">
        <f>"248030104103"</f>
        <v>248030104103</v>
      </c>
      <c r="L3442">
        <v>4543</v>
      </c>
      <c r="M3442" t="s">
        <v>3980</v>
      </c>
      <c r="N3442" t="str">
        <f>"248030104103"</f>
        <v>248030104103</v>
      </c>
      <c r="O3442" t="str">
        <f>"460003199402122824"</f>
        <v>460003199402122824</v>
      </c>
    </row>
    <row r="3443" customFormat="1" spans="1:15">
      <c r="A3443">
        <v>4544</v>
      </c>
      <c r="B3443" t="s">
        <v>591</v>
      </c>
      <c r="C3443" t="str">
        <f>"460004199311043422"</f>
        <v>460004199311043422</v>
      </c>
      <c r="D3443" t="str">
        <f>"248030500205"</f>
        <v>248030500205</v>
      </c>
      <c r="L3443">
        <v>4544</v>
      </c>
      <c r="M3443" t="s">
        <v>591</v>
      </c>
      <c r="N3443" t="str">
        <f>"248030500205"</f>
        <v>248030500205</v>
      </c>
      <c r="O3443" t="str">
        <f>"460004199311043422"</f>
        <v>460004199311043422</v>
      </c>
    </row>
    <row r="3444" customFormat="1" spans="1:15">
      <c r="A3444">
        <v>4545</v>
      </c>
      <c r="B3444" t="s">
        <v>3981</v>
      </c>
      <c r="C3444" t="str">
        <f>"460104199606040021"</f>
        <v>460104199606040021</v>
      </c>
      <c r="D3444" t="str">
        <f>"248030104530"</f>
        <v>248030104530</v>
      </c>
      <c r="L3444">
        <v>4545</v>
      </c>
      <c r="M3444" t="s">
        <v>3981</v>
      </c>
      <c r="N3444" t="str">
        <f>"248030104530"</f>
        <v>248030104530</v>
      </c>
      <c r="O3444" t="str">
        <f>"460104199606040021"</f>
        <v>460104199606040021</v>
      </c>
    </row>
    <row r="3445" customFormat="1" spans="1:15">
      <c r="A3445">
        <v>4546</v>
      </c>
      <c r="B3445" t="s">
        <v>3982</v>
      </c>
      <c r="C3445" t="str">
        <f>"460005199810110315"</f>
        <v>460005199810110315</v>
      </c>
      <c r="D3445" t="str">
        <f>"248030103317"</f>
        <v>248030103317</v>
      </c>
      <c r="L3445">
        <v>4546</v>
      </c>
      <c r="M3445" t="s">
        <v>3982</v>
      </c>
      <c r="N3445" t="str">
        <f>"248030103317"</f>
        <v>248030103317</v>
      </c>
      <c r="O3445" t="str">
        <f>"460005199810110315"</f>
        <v>460005199810110315</v>
      </c>
    </row>
    <row r="3446" customFormat="1" spans="1:15">
      <c r="A3446">
        <v>4547</v>
      </c>
      <c r="B3446" t="s">
        <v>3983</v>
      </c>
      <c r="C3446" t="str">
        <f>"46000419880613361X"</f>
        <v>46000419880613361X</v>
      </c>
      <c r="L3446">
        <v>4547</v>
      </c>
      <c r="M3446" t="s">
        <v>3983</v>
      </c>
      <c r="O3446" t="str">
        <f>"46000419880613361X"</f>
        <v>46000419880613361X</v>
      </c>
    </row>
    <row r="3447" customFormat="1" spans="1:15">
      <c r="A3447">
        <v>4548</v>
      </c>
      <c r="B3447" t="s">
        <v>3984</v>
      </c>
      <c r="C3447" t="str">
        <f>"460003199403054042"</f>
        <v>460003199403054042</v>
      </c>
      <c r="L3447">
        <v>4548</v>
      </c>
      <c r="M3447" t="s">
        <v>3984</v>
      </c>
      <c r="O3447" t="str">
        <f>"460003199403054042"</f>
        <v>460003199403054042</v>
      </c>
    </row>
    <row r="3448" customFormat="1" spans="1:15">
      <c r="A3448">
        <v>4549</v>
      </c>
      <c r="B3448" t="s">
        <v>3985</v>
      </c>
      <c r="C3448" t="str">
        <f>"460004200103210025"</f>
        <v>460004200103210025</v>
      </c>
      <c r="D3448" t="str">
        <f>"248030504126"</f>
        <v>248030504126</v>
      </c>
      <c r="L3448">
        <v>4549</v>
      </c>
      <c r="M3448" t="s">
        <v>3985</v>
      </c>
      <c r="N3448" t="str">
        <f>"248030504126"</f>
        <v>248030504126</v>
      </c>
      <c r="O3448" t="str">
        <f>"460004200103210025"</f>
        <v>460004200103210025</v>
      </c>
    </row>
    <row r="3449" customFormat="1" spans="1:15">
      <c r="A3449">
        <v>4550</v>
      </c>
      <c r="B3449" t="s">
        <v>3986</v>
      </c>
      <c r="C3449" t="str">
        <f>"350524200102057142"</f>
        <v>350524200102057142</v>
      </c>
      <c r="D3449" t="str">
        <f>"248030503002"</f>
        <v>248030503002</v>
      </c>
      <c r="L3449">
        <v>4550</v>
      </c>
      <c r="M3449" t="s">
        <v>3986</v>
      </c>
      <c r="N3449" t="str">
        <f>"248030503002"</f>
        <v>248030503002</v>
      </c>
      <c r="O3449" t="str">
        <f>"350524200102057142"</f>
        <v>350524200102057142</v>
      </c>
    </row>
    <row r="3450" customFormat="1" spans="1:15">
      <c r="A3450">
        <v>4551</v>
      </c>
      <c r="B3450" t="s">
        <v>3987</v>
      </c>
      <c r="C3450" t="str">
        <f>"460102200201261523"</f>
        <v>460102200201261523</v>
      </c>
      <c r="D3450" t="str">
        <f>"248030300310"</f>
        <v>248030300310</v>
      </c>
      <c r="L3450">
        <v>4551</v>
      </c>
      <c r="M3450" t="s">
        <v>3987</v>
      </c>
      <c r="N3450" t="str">
        <f>"248030300310"</f>
        <v>248030300310</v>
      </c>
      <c r="O3450" t="str">
        <f>"460102200201261523"</f>
        <v>460102200201261523</v>
      </c>
    </row>
    <row r="3451" customFormat="1" spans="1:15">
      <c r="A3451">
        <v>4552</v>
      </c>
      <c r="B3451" t="s">
        <v>3988</v>
      </c>
      <c r="C3451" t="str">
        <f>"460007199209107249"</f>
        <v>460007199209107249</v>
      </c>
      <c r="D3451" t="str">
        <f>"248030203926"</f>
        <v>248030203926</v>
      </c>
      <c r="L3451">
        <v>4552</v>
      </c>
      <c r="M3451" t="s">
        <v>3988</v>
      </c>
      <c r="N3451" t="str">
        <f>"248030203926"</f>
        <v>248030203926</v>
      </c>
      <c r="O3451" t="str">
        <f>"460007199209107249"</f>
        <v>460007199209107249</v>
      </c>
    </row>
    <row r="3452" customFormat="1" spans="1:15">
      <c r="A3452">
        <v>4553</v>
      </c>
      <c r="B3452" t="s">
        <v>3989</v>
      </c>
      <c r="C3452" t="str">
        <f>"460103199810033623"</f>
        <v>460103199810033623</v>
      </c>
      <c r="D3452" t="str">
        <f>"248030201327"</f>
        <v>248030201327</v>
      </c>
      <c r="L3452">
        <v>4553</v>
      </c>
      <c r="M3452" t="s">
        <v>3989</v>
      </c>
      <c r="N3452" t="str">
        <f>"248030201327"</f>
        <v>248030201327</v>
      </c>
      <c r="O3452" t="str">
        <f>"460103199810033623"</f>
        <v>460103199810033623</v>
      </c>
    </row>
    <row r="3453" customFormat="1" spans="1:15">
      <c r="A3453">
        <v>4554</v>
      </c>
      <c r="B3453" t="s">
        <v>3990</v>
      </c>
      <c r="C3453" t="str">
        <f>"460027199405158225"</f>
        <v>460027199405158225</v>
      </c>
      <c r="D3453" t="str">
        <f>"248030400410"</f>
        <v>248030400410</v>
      </c>
      <c r="L3453">
        <v>4554</v>
      </c>
      <c r="M3453" t="s">
        <v>3990</v>
      </c>
      <c r="N3453" t="str">
        <f>"248030400410"</f>
        <v>248030400410</v>
      </c>
      <c r="O3453" t="str">
        <f>"460027199405158225"</f>
        <v>460027199405158225</v>
      </c>
    </row>
    <row r="3454" customFormat="1" spans="1:15">
      <c r="A3454">
        <v>4555</v>
      </c>
      <c r="B3454" t="s">
        <v>3991</v>
      </c>
      <c r="C3454" t="str">
        <f>"469021200107142124"</f>
        <v>469021200107142124</v>
      </c>
      <c r="D3454" t="str">
        <f>"248030200928"</f>
        <v>248030200928</v>
      </c>
      <c r="L3454">
        <v>4555</v>
      </c>
      <c r="M3454" t="s">
        <v>3991</v>
      </c>
      <c r="N3454" t="str">
        <f>"248030200928"</f>
        <v>248030200928</v>
      </c>
      <c r="O3454" t="str">
        <f>"469021200107142124"</f>
        <v>469021200107142124</v>
      </c>
    </row>
    <row r="3455" customFormat="1" spans="1:15">
      <c r="A3455">
        <v>4556</v>
      </c>
      <c r="B3455" t="s">
        <v>1712</v>
      </c>
      <c r="C3455" t="str">
        <f>"460027200003011728"</f>
        <v>460027200003011728</v>
      </c>
      <c r="D3455" t="str">
        <f>"248030100701"</f>
        <v>248030100701</v>
      </c>
      <c r="L3455">
        <v>4556</v>
      </c>
      <c r="M3455" t="s">
        <v>1712</v>
      </c>
      <c r="N3455" t="str">
        <f>"248030100701"</f>
        <v>248030100701</v>
      </c>
      <c r="O3455" t="str">
        <f>"460027200003011728"</f>
        <v>460027200003011728</v>
      </c>
    </row>
    <row r="3456" customFormat="1" spans="1:15">
      <c r="A3456">
        <v>4558</v>
      </c>
      <c r="B3456" t="s">
        <v>3992</v>
      </c>
      <c r="C3456" t="str">
        <f>"41272619950519624X"</f>
        <v>41272619950519624X</v>
      </c>
      <c r="L3456">
        <v>4558</v>
      </c>
      <c r="M3456" t="s">
        <v>3992</v>
      </c>
      <c r="O3456" t="str">
        <f>"41272619950519624X"</f>
        <v>41272619950519624X</v>
      </c>
    </row>
    <row r="3457" customFormat="1" spans="1:15">
      <c r="A3457">
        <v>4559</v>
      </c>
      <c r="B3457" t="s">
        <v>634</v>
      </c>
      <c r="C3457" t="str">
        <f>"460002200108280820"</f>
        <v>460002200108280820</v>
      </c>
      <c r="D3457" t="str">
        <f>"248030104229"</f>
        <v>248030104229</v>
      </c>
      <c r="L3457">
        <v>4559</v>
      </c>
      <c r="M3457" t="s">
        <v>634</v>
      </c>
      <c r="N3457" t="str">
        <f>"248030104229"</f>
        <v>248030104229</v>
      </c>
      <c r="O3457" t="str">
        <f>"460002200108280820"</f>
        <v>460002200108280820</v>
      </c>
    </row>
    <row r="3458" customFormat="1" spans="1:15">
      <c r="A3458">
        <v>4561</v>
      </c>
      <c r="B3458" t="s">
        <v>3993</v>
      </c>
      <c r="C3458" t="str">
        <f>"330501199901259425"</f>
        <v>330501199901259425</v>
      </c>
      <c r="D3458" t="str">
        <f>"248030104418"</f>
        <v>248030104418</v>
      </c>
      <c r="L3458">
        <v>4561</v>
      </c>
      <c r="M3458" t="s">
        <v>3993</v>
      </c>
      <c r="N3458" t="str">
        <f>"248030104418"</f>
        <v>248030104418</v>
      </c>
      <c r="O3458" t="str">
        <f>"330501199901259425"</f>
        <v>330501199901259425</v>
      </c>
    </row>
    <row r="3459" customFormat="1" spans="1:15">
      <c r="A3459">
        <v>4562</v>
      </c>
      <c r="B3459" t="s">
        <v>3994</v>
      </c>
      <c r="C3459" t="str">
        <f>"460036200112224825"</f>
        <v>460036200112224825</v>
      </c>
      <c r="L3459">
        <v>4562</v>
      </c>
      <c r="M3459" t="s">
        <v>3994</v>
      </c>
      <c r="O3459" t="str">
        <f>"460036200112224825"</f>
        <v>460036200112224825</v>
      </c>
    </row>
    <row r="3460" customFormat="1" spans="1:15">
      <c r="A3460">
        <v>4564</v>
      </c>
      <c r="B3460" t="s">
        <v>3995</v>
      </c>
      <c r="C3460" t="str">
        <f>"460104199401060942"</f>
        <v>460104199401060942</v>
      </c>
      <c r="D3460" t="str">
        <f>"248030103021"</f>
        <v>248030103021</v>
      </c>
      <c r="L3460">
        <v>4564</v>
      </c>
      <c r="M3460" t="s">
        <v>3995</v>
      </c>
      <c r="N3460" t="str">
        <f>"248030103021"</f>
        <v>248030103021</v>
      </c>
      <c r="O3460" t="str">
        <f>"460104199401060942"</f>
        <v>460104199401060942</v>
      </c>
    </row>
    <row r="3461" customFormat="1" spans="1:15">
      <c r="A3461">
        <v>4565</v>
      </c>
      <c r="B3461" t="s">
        <v>3996</v>
      </c>
      <c r="C3461" t="str">
        <f>"460003200001171823"</f>
        <v>460003200001171823</v>
      </c>
      <c r="D3461" t="str">
        <f>"248030503314"</f>
        <v>248030503314</v>
      </c>
      <c r="L3461">
        <v>4565</v>
      </c>
      <c r="M3461" t="s">
        <v>3996</v>
      </c>
      <c r="N3461" t="str">
        <f>"248030503314"</f>
        <v>248030503314</v>
      </c>
      <c r="O3461" t="str">
        <f>"460003200001171823"</f>
        <v>460003200001171823</v>
      </c>
    </row>
    <row r="3462" customFormat="1" spans="1:15">
      <c r="A3462">
        <v>4566</v>
      </c>
      <c r="B3462" t="s">
        <v>3997</v>
      </c>
      <c r="C3462" t="str">
        <f>"46002719980409293X"</f>
        <v>46002719980409293X</v>
      </c>
      <c r="D3462" t="str">
        <f>"248030203627"</f>
        <v>248030203627</v>
      </c>
      <c r="L3462">
        <v>4566</v>
      </c>
      <c r="M3462" t="s">
        <v>3997</v>
      </c>
      <c r="N3462" t="str">
        <f>"248030203627"</f>
        <v>248030203627</v>
      </c>
      <c r="O3462" t="str">
        <f>"46002719980409293X"</f>
        <v>46002719980409293X</v>
      </c>
    </row>
    <row r="3463" customFormat="1" spans="1:15">
      <c r="A3463">
        <v>4567</v>
      </c>
      <c r="B3463" t="s">
        <v>3998</v>
      </c>
      <c r="C3463" t="str">
        <f>"622624198709160085"</f>
        <v>622624198709160085</v>
      </c>
      <c r="D3463" t="str">
        <f>"248030500421"</f>
        <v>248030500421</v>
      </c>
      <c r="L3463">
        <v>4567</v>
      </c>
      <c r="M3463" t="s">
        <v>3998</v>
      </c>
      <c r="N3463" t="str">
        <f>"248030500421"</f>
        <v>248030500421</v>
      </c>
      <c r="O3463" t="str">
        <f>"622624198709160085"</f>
        <v>622624198709160085</v>
      </c>
    </row>
    <row r="3464" customFormat="1" spans="1:15">
      <c r="A3464">
        <v>4568</v>
      </c>
      <c r="B3464" t="s">
        <v>3999</v>
      </c>
      <c r="C3464" t="str">
        <f>"460026200010120627"</f>
        <v>460026200010120627</v>
      </c>
      <c r="D3464" t="str">
        <f>"248030302414"</f>
        <v>248030302414</v>
      </c>
      <c r="L3464">
        <v>4568</v>
      </c>
      <c r="M3464" t="s">
        <v>3999</v>
      </c>
      <c r="N3464" t="str">
        <f>"248030302414"</f>
        <v>248030302414</v>
      </c>
      <c r="O3464" t="str">
        <f>"460026200010120627"</f>
        <v>460026200010120627</v>
      </c>
    </row>
    <row r="3465" customFormat="1" spans="1:15">
      <c r="A3465">
        <v>4569</v>
      </c>
      <c r="B3465" t="s">
        <v>4000</v>
      </c>
      <c r="C3465" t="str">
        <f>"46010420030105062X"</f>
        <v>46010420030105062X</v>
      </c>
      <c r="D3465" t="str">
        <f>"248030501507"</f>
        <v>248030501507</v>
      </c>
      <c r="L3465">
        <v>4569</v>
      </c>
      <c r="M3465" t="s">
        <v>4000</v>
      </c>
      <c r="N3465" t="str">
        <f>"248030501507"</f>
        <v>248030501507</v>
      </c>
      <c r="O3465" t="str">
        <f>"46010420030105062X"</f>
        <v>46010420030105062X</v>
      </c>
    </row>
    <row r="3466" customFormat="1" spans="1:15">
      <c r="A3466">
        <v>4570</v>
      </c>
      <c r="B3466" t="s">
        <v>4001</v>
      </c>
      <c r="C3466" t="str">
        <f>"460104200003220010"</f>
        <v>460104200003220010</v>
      </c>
      <c r="D3466" t="str">
        <f>"248030201430"</f>
        <v>248030201430</v>
      </c>
      <c r="L3466">
        <v>4570</v>
      </c>
      <c r="M3466" t="s">
        <v>4001</v>
      </c>
      <c r="N3466" t="str">
        <f>"248030201430"</f>
        <v>248030201430</v>
      </c>
      <c r="O3466" t="str">
        <f>"460104200003220010"</f>
        <v>460104200003220010</v>
      </c>
    </row>
    <row r="3467" customFormat="1" spans="1:15">
      <c r="A3467">
        <v>4572</v>
      </c>
      <c r="B3467" t="s">
        <v>4002</v>
      </c>
      <c r="C3467" t="str">
        <f>"460002200204221521"</f>
        <v>460002200204221521</v>
      </c>
      <c r="D3467" t="str">
        <f>"248030103003"</f>
        <v>248030103003</v>
      </c>
      <c r="L3467">
        <v>4572</v>
      </c>
      <c r="M3467" t="s">
        <v>4002</v>
      </c>
      <c r="N3467" t="str">
        <f>"248030103003"</f>
        <v>248030103003</v>
      </c>
      <c r="O3467" t="str">
        <f>"460002200204221521"</f>
        <v>460002200204221521</v>
      </c>
    </row>
    <row r="3468" customFormat="1" spans="1:15">
      <c r="A3468">
        <v>4574</v>
      </c>
      <c r="B3468" t="s">
        <v>2575</v>
      </c>
      <c r="C3468" t="str">
        <f>"460035200104291343"</f>
        <v>460035200104291343</v>
      </c>
      <c r="L3468">
        <v>4574</v>
      </c>
      <c r="M3468" t="s">
        <v>2575</v>
      </c>
      <c r="O3468" t="str">
        <f>"460035200104291343"</f>
        <v>460035200104291343</v>
      </c>
    </row>
    <row r="3469" customFormat="1" spans="1:15">
      <c r="A3469">
        <v>4575</v>
      </c>
      <c r="B3469" t="s">
        <v>4003</v>
      </c>
      <c r="C3469" t="str">
        <f>"460004199904024227"</f>
        <v>460004199904024227</v>
      </c>
      <c r="D3469" t="str">
        <f>"248030302805"</f>
        <v>248030302805</v>
      </c>
      <c r="L3469">
        <v>4575</v>
      </c>
      <c r="M3469" t="s">
        <v>4003</v>
      </c>
      <c r="N3469" t="str">
        <f>"248030302805"</f>
        <v>248030302805</v>
      </c>
      <c r="O3469" t="str">
        <f>"460004199904024227"</f>
        <v>460004199904024227</v>
      </c>
    </row>
    <row r="3470" customFormat="1" spans="1:15">
      <c r="A3470">
        <v>4577</v>
      </c>
      <c r="B3470" t="s">
        <v>4004</v>
      </c>
      <c r="C3470" t="str">
        <f>"460003199810273429"</f>
        <v>460003199810273429</v>
      </c>
      <c r="D3470" t="str">
        <f>"248030403524"</f>
        <v>248030403524</v>
      </c>
      <c r="L3470">
        <v>4577</v>
      </c>
      <c r="M3470" t="s">
        <v>4004</v>
      </c>
      <c r="N3470" t="str">
        <f>"248030403524"</f>
        <v>248030403524</v>
      </c>
      <c r="O3470" t="str">
        <f>"460003199810273429"</f>
        <v>460003199810273429</v>
      </c>
    </row>
    <row r="3471" customFormat="1" spans="1:15">
      <c r="A3471">
        <v>4578</v>
      </c>
      <c r="B3471" t="s">
        <v>4005</v>
      </c>
      <c r="C3471" t="str">
        <f>"460005200005061229"</f>
        <v>460005200005061229</v>
      </c>
      <c r="D3471" t="str">
        <f>"248030202909"</f>
        <v>248030202909</v>
      </c>
      <c r="L3471">
        <v>4578</v>
      </c>
      <c r="M3471" t="s">
        <v>4005</v>
      </c>
      <c r="N3471" t="str">
        <f>"248030202909"</f>
        <v>248030202909</v>
      </c>
      <c r="O3471" t="str">
        <f>"460005200005061229"</f>
        <v>460005200005061229</v>
      </c>
    </row>
    <row r="3472" customFormat="1" spans="1:15">
      <c r="A3472">
        <v>4580</v>
      </c>
      <c r="B3472" t="s">
        <v>4006</v>
      </c>
      <c r="C3472" t="str">
        <f>"460002199502044927"</f>
        <v>460002199502044927</v>
      </c>
      <c r="D3472" t="str">
        <f>"248030402304"</f>
        <v>248030402304</v>
      </c>
      <c r="L3472">
        <v>4580</v>
      </c>
      <c r="M3472" t="s">
        <v>4006</v>
      </c>
      <c r="N3472" t="str">
        <f>"248030402304"</f>
        <v>248030402304</v>
      </c>
      <c r="O3472" t="str">
        <f>"460002199502044927"</f>
        <v>460002199502044927</v>
      </c>
    </row>
    <row r="3473" customFormat="1" spans="1:15">
      <c r="A3473">
        <v>4581</v>
      </c>
      <c r="B3473" t="s">
        <v>3115</v>
      </c>
      <c r="C3473" t="str">
        <f>"140221200007296829"</f>
        <v>140221200007296829</v>
      </c>
      <c r="L3473">
        <v>4581</v>
      </c>
      <c r="M3473" t="s">
        <v>3115</v>
      </c>
      <c r="O3473" t="str">
        <f>"140221200007296829"</f>
        <v>140221200007296829</v>
      </c>
    </row>
    <row r="3474" customFormat="1" spans="1:15">
      <c r="A3474">
        <v>4582</v>
      </c>
      <c r="B3474" t="s">
        <v>2772</v>
      </c>
      <c r="C3474" t="str">
        <f>"510322200105118111"</f>
        <v>510322200105118111</v>
      </c>
      <c r="D3474" t="str">
        <f>"248030203823"</f>
        <v>248030203823</v>
      </c>
      <c r="L3474">
        <v>4582</v>
      </c>
      <c r="M3474" t="s">
        <v>2772</v>
      </c>
      <c r="N3474" t="str">
        <f>"248030203823"</f>
        <v>248030203823</v>
      </c>
      <c r="O3474" t="str">
        <f>"510322200105118111"</f>
        <v>510322200105118111</v>
      </c>
    </row>
    <row r="3475" customFormat="1" spans="1:15">
      <c r="A3475">
        <v>4583</v>
      </c>
      <c r="B3475" t="s">
        <v>4007</v>
      </c>
      <c r="C3475" t="str">
        <f>"450721200012103024"</f>
        <v>450721200012103024</v>
      </c>
      <c r="D3475" t="str">
        <f>"248030401509"</f>
        <v>248030401509</v>
      </c>
      <c r="L3475">
        <v>4583</v>
      </c>
      <c r="M3475" t="s">
        <v>4007</v>
      </c>
      <c r="N3475" t="str">
        <f>"248030401509"</f>
        <v>248030401509</v>
      </c>
      <c r="O3475" t="str">
        <f>"450721200012103024"</f>
        <v>450721200012103024</v>
      </c>
    </row>
    <row r="3476" customFormat="1" spans="1:15">
      <c r="A3476">
        <v>4584</v>
      </c>
      <c r="B3476" t="s">
        <v>4008</v>
      </c>
      <c r="C3476" t="str">
        <f>"460200199812043848"</f>
        <v>460200199812043848</v>
      </c>
      <c r="D3476" t="str">
        <f>"248030400204"</f>
        <v>248030400204</v>
      </c>
      <c r="L3476">
        <v>4584</v>
      </c>
      <c r="M3476" t="s">
        <v>4008</v>
      </c>
      <c r="N3476" t="str">
        <f>"248030400204"</f>
        <v>248030400204</v>
      </c>
      <c r="O3476" t="str">
        <f>"460200199812043848"</f>
        <v>460200199812043848</v>
      </c>
    </row>
    <row r="3477" customFormat="1" spans="1:15">
      <c r="A3477">
        <v>4585</v>
      </c>
      <c r="B3477" t="s">
        <v>4009</v>
      </c>
      <c r="C3477" t="str">
        <f>"460004199306265223"</f>
        <v>460004199306265223</v>
      </c>
      <c r="L3477">
        <v>4585</v>
      </c>
      <c r="M3477" t="s">
        <v>4009</v>
      </c>
      <c r="O3477" t="str">
        <f>"460004199306265223"</f>
        <v>460004199306265223</v>
      </c>
    </row>
    <row r="3478" customFormat="1" spans="1:15">
      <c r="A3478">
        <v>4586</v>
      </c>
      <c r="B3478" t="s">
        <v>4010</v>
      </c>
      <c r="C3478" t="str">
        <f>"440982199512144320"</f>
        <v>440982199512144320</v>
      </c>
      <c r="D3478" t="str">
        <f>"248030503224"</f>
        <v>248030503224</v>
      </c>
      <c r="L3478">
        <v>4586</v>
      </c>
      <c r="M3478" t="s">
        <v>4010</v>
      </c>
      <c r="N3478" t="str">
        <f>"248030503224"</f>
        <v>248030503224</v>
      </c>
      <c r="O3478" t="str">
        <f>"440982199512144320"</f>
        <v>440982199512144320</v>
      </c>
    </row>
    <row r="3479" customFormat="1" spans="1:15">
      <c r="A3479">
        <v>4588</v>
      </c>
      <c r="B3479" t="s">
        <v>4011</v>
      </c>
      <c r="C3479" t="str">
        <f>"469024200101195224"</f>
        <v>469024200101195224</v>
      </c>
      <c r="D3479" t="str">
        <f>"248030203824"</f>
        <v>248030203824</v>
      </c>
      <c r="L3479">
        <v>4588</v>
      </c>
      <c r="M3479" t="s">
        <v>4011</v>
      </c>
      <c r="N3479" t="str">
        <f>"248030203824"</f>
        <v>248030203824</v>
      </c>
      <c r="O3479" t="str">
        <f>"469024200101195224"</f>
        <v>469024200101195224</v>
      </c>
    </row>
    <row r="3480" customFormat="1" spans="1:15">
      <c r="A3480">
        <v>4589</v>
      </c>
      <c r="B3480" t="s">
        <v>4012</v>
      </c>
      <c r="C3480" t="str">
        <f>"460004200010173229"</f>
        <v>460004200010173229</v>
      </c>
      <c r="D3480" t="str">
        <f>"248030200303"</f>
        <v>248030200303</v>
      </c>
      <c r="L3480">
        <v>4589</v>
      </c>
      <c r="M3480" t="s">
        <v>4012</v>
      </c>
      <c r="N3480" t="str">
        <f>"248030200303"</f>
        <v>248030200303</v>
      </c>
      <c r="O3480" t="str">
        <f>"460004200010173229"</f>
        <v>460004200010173229</v>
      </c>
    </row>
    <row r="3481" customFormat="1" spans="1:15">
      <c r="A3481">
        <v>4590</v>
      </c>
      <c r="B3481" t="s">
        <v>4013</v>
      </c>
      <c r="C3481" t="str">
        <f>"460007200007285368"</f>
        <v>460007200007285368</v>
      </c>
      <c r="D3481" t="str">
        <f>"248030101305"</f>
        <v>248030101305</v>
      </c>
      <c r="L3481">
        <v>4590</v>
      </c>
      <c r="M3481" t="s">
        <v>4013</v>
      </c>
      <c r="N3481" t="str">
        <f>"248030101305"</f>
        <v>248030101305</v>
      </c>
      <c r="O3481" t="str">
        <f>"460007200007285368"</f>
        <v>460007200007285368</v>
      </c>
    </row>
    <row r="3482" customFormat="1" spans="1:15">
      <c r="A3482">
        <v>4591</v>
      </c>
      <c r="B3482" t="s">
        <v>4014</v>
      </c>
      <c r="C3482" t="str">
        <f>"460030199402284523"</f>
        <v>460030199402284523</v>
      </c>
      <c r="L3482">
        <v>4591</v>
      </c>
      <c r="M3482" t="s">
        <v>4014</v>
      </c>
      <c r="O3482" t="str">
        <f>"460030199402284523"</f>
        <v>460030199402284523</v>
      </c>
    </row>
    <row r="3483" customFormat="1" spans="1:15">
      <c r="A3483">
        <v>4592</v>
      </c>
      <c r="B3483" t="s">
        <v>4015</v>
      </c>
      <c r="C3483" t="str">
        <f>"430822199501125286"</f>
        <v>430822199501125286</v>
      </c>
      <c r="D3483" t="str">
        <f>"248030301717"</f>
        <v>248030301717</v>
      </c>
      <c r="L3483">
        <v>4592</v>
      </c>
      <c r="M3483" t="s">
        <v>4015</v>
      </c>
      <c r="N3483" t="str">
        <f>"248030301717"</f>
        <v>248030301717</v>
      </c>
      <c r="O3483" t="str">
        <f>"430822199501125286"</f>
        <v>430822199501125286</v>
      </c>
    </row>
    <row r="3484" customFormat="1" spans="1:15">
      <c r="A3484">
        <v>4594</v>
      </c>
      <c r="B3484" t="s">
        <v>4016</v>
      </c>
      <c r="C3484" t="str">
        <f>"460002199504155428"</f>
        <v>460002199504155428</v>
      </c>
      <c r="D3484" t="str">
        <f>"248030500512"</f>
        <v>248030500512</v>
      </c>
      <c r="L3484">
        <v>4594</v>
      </c>
      <c r="M3484" t="s">
        <v>4016</v>
      </c>
      <c r="N3484" t="str">
        <f>"248030500512"</f>
        <v>248030500512</v>
      </c>
      <c r="O3484" t="str">
        <f>"460002199504155428"</f>
        <v>460002199504155428</v>
      </c>
    </row>
    <row r="3485" customFormat="1" spans="1:15">
      <c r="A3485">
        <v>4595</v>
      </c>
      <c r="B3485" t="s">
        <v>4017</v>
      </c>
      <c r="C3485" t="str">
        <f>"460028199712056022"</f>
        <v>460028199712056022</v>
      </c>
      <c r="D3485" t="str">
        <f>"248030101713"</f>
        <v>248030101713</v>
      </c>
      <c r="L3485">
        <v>4595</v>
      </c>
      <c r="M3485" t="s">
        <v>4017</v>
      </c>
      <c r="N3485" t="str">
        <f>"248030101713"</f>
        <v>248030101713</v>
      </c>
      <c r="O3485" t="str">
        <f>"460028199712056022"</f>
        <v>460028199712056022</v>
      </c>
    </row>
    <row r="3486" customFormat="1" spans="1:15">
      <c r="A3486">
        <v>4596</v>
      </c>
      <c r="B3486" t="s">
        <v>4018</v>
      </c>
      <c r="C3486" t="str">
        <f>"430421200205208586"</f>
        <v>430421200205208586</v>
      </c>
      <c r="D3486" t="str">
        <f>"248030300713"</f>
        <v>248030300713</v>
      </c>
      <c r="L3486">
        <v>4596</v>
      </c>
      <c r="M3486" t="s">
        <v>4018</v>
      </c>
      <c r="N3486" t="str">
        <f>"248030300713"</f>
        <v>248030300713</v>
      </c>
      <c r="O3486" t="str">
        <f>"430421200205208586"</f>
        <v>430421200205208586</v>
      </c>
    </row>
    <row r="3487" customFormat="1" spans="1:15">
      <c r="A3487">
        <v>4597</v>
      </c>
      <c r="B3487" t="s">
        <v>4019</v>
      </c>
      <c r="C3487" t="str">
        <f>"460102200107010621"</f>
        <v>460102200107010621</v>
      </c>
      <c r="D3487" t="str">
        <f>"248030503329"</f>
        <v>248030503329</v>
      </c>
      <c r="L3487">
        <v>4597</v>
      </c>
      <c r="M3487" t="s">
        <v>4019</v>
      </c>
      <c r="N3487" t="str">
        <f>"248030503329"</f>
        <v>248030503329</v>
      </c>
      <c r="O3487" t="str">
        <f>"460102200107010621"</f>
        <v>460102200107010621</v>
      </c>
    </row>
    <row r="3488" customFormat="1" spans="1:15">
      <c r="A3488">
        <v>4598</v>
      </c>
      <c r="B3488" t="s">
        <v>4020</v>
      </c>
      <c r="C3488" t="str">
        <f>"460006199808252724"</f>
        <v>460006199808252724</v>
      </c>
      <c r="D3488" t="str">
        <f>"248030302318"</f>
        <v>248030302318</v>
      </c>
      <c r="L3488">
        <v>4598</v>
      </c>
      <c r="M3488" t="s">
        <v>4020</v>
      </c>
      <c r="N3488" t="str">
        <f>"248030302318"</f>
        <v>248030302318</v>
      </c>
      <c r="O3488" t="str">
        <f>"460006199808252724"</f>
        <v>460006199808252724</v>
      </c>
    </row>
    <row r="3489" customFormat="1" spans="1:15">
      <c r="A3489">
        <v>4599</v>
      </c>
      <c r="B3489" t="s">
        <v>4021</v>
      </c>
      <c r="C3489" t="str">
        <f>"460027199701050016"</f>
        <v>460027199701050016</v>
      </c>
      <c r="L3489">
        <v>4599</v>
      </c>
      <c r="M3489" t="s">
        <v>4021</v>
      </c>
      <c r="O3489" t="str">
        <f>"460027199701050016"</f>
        <v>460027199701050016</v>
      </c>
    </row>
    <row r="3490" customFormat="1" spans="1:15">
      <c r="A3490">
        <v>4600</v>
      </c>
      <c r="B3490" t="s">
        <v>4022</v>
      </c>
      <c r="C3490" t="str">
        <f>"460004199409202647"</f>
        <v>460004199409202647</v>
      </c>
      <c r="D3490" t="str">
        <f>"248030102408"</f>
        <v>248030102408</v>
      </c>
      <c r="L3490">
        <v>4600</v>
      </c>
      <c r="M3490" t="s">
        <v>4022</v>
      </c>
      <c r="N3490" t="str">
        <f>"248030102408"</f>
        <v>248030102408</v>
      </c>
      <c r="O3490" t="str">
        <f>"460004199409202647"</f>
        <v>460004199409202647</v>
      </c>
    </row>
    <row r="3491" customFormat="1" spans="1:15">
      <c r="A3491">
        <v>4601</v>
      </c>
      <c r="B3491" t="s">
        <v>4023</v>
      </c>
      <c r="C3491" t="str">
        <f>"460006199506101728"</f>
        <v>460006199506101728</v>
      </c>
      <c r="D3491" t="str">
        <f>"248030200618"</f>
        <v>248030200618</v>
      </c>
      <c r="L3491">
        <v>4601</v>
      </c>
      <c r="M3491" t="s">
        <v>4023</v>
      </c>
      <c r="N3491" t="str">
        <f>"248030200618"</f>
        <v>248030200618</v>
      </c>
      <c r="O3491" t="str">
        <f>"460006199506101728"</f>
        <v>460006199506101728</v>
      </c>
    </row>
    <row r="3492" customFormat="1" spans="1:15">
      <c r="A3492">
        <v>4602</v>
      </c>
      <c r="B3492" t="s">
        <v>4024</v>
      </c>
      <c r="C3492" t="str">
        <f>"46902220010413482X"</f>
        <v>46902220010413482X</v>
      </c>
      <c r="D3492" t="str">
        <f>"248030200119"</f>
        <v>248030200119</v>
      </c>
      <c r="L3492">
        <v>4602</v>
      </c>
      <c r="M3492" t="s">
        <v>4024</v>
      </c>
      <c r="N3492" t="str">
        <f>"248030200119"</f>
        <v>248030200119</v>
      </c>
      <c r="O3492" t="str">
        <f>"46902220010413482X"</f>
        <v>46902220010413482X</v>
      </c>
    </row>
    <row r="3493" customFormat="1" spans="1:15">
      <c r="A3493">
        <v>4603</v>
      </c>
      <c r="B3493" t="s">
        <v>183</v>
      </c>
      <c r="C3493" t="str">
        <f>"460103199910200329"</f>
        <v>460103199910200329</v>
      </c>
      <c r="D3493" t="str">
        <f>"248030501427"</f>
        <v>248030501427</v>
      </c>
      <c r="L3493">
        <v>4603</v>
      </c>
      <c r="M3493" t="s">
        <v>183</v>
      </c>
      <c r="N3493" t="str">
        <f>"248030501427"</f>
        <v>248030501427</v>
      </c>
      <c r="O3493" t="str">
        <f>"460103199910200329"</f>
        <v>460103199910200329</v>
      </c>
    </row>
    <row r="3494" customFormat="1" spans="1:15">
      <c r="A3494">
        <v>4604</v>
      </c>
      <c r="B3494" t="s">
        <v>4025</v>
      </c>
      <c r="C3494" t="str">
        <f>"140830200108150027"</f>
        <v>140830200108150027</v>
      </c>
      <c r="D3494" t="str">
        <f>"248030104511"</f>
        <v>248030104511</v>
      </c>
      <c r="L3494">
        <v>4604</v>
      </c>
      <c r="M3494" t="s">
        <v>4025</v>
      </c>
      <c r="N3494" t="str">
        <f>"248030104511"</f>
        <v>248030104511</v>
      </c>
      <c r="O3494" t="str">
        <f>"140830200108150027"</f>
        <v>140830200108150027</v>
      </c>
    </row>
    <row r="3495" customFormat="1" spans="1:15">
      <c r="A3495">
        <v>4606</v>
      </c>
      <c r="B3495" t="s">
        <v>2321</v>
      </c>
      <c r="C3495" t="str">
        <f>"460004199105173824"</f>
        <v>460004199105173824</v>
      </c>
      <c r="D3495" t="str">
        <f>"248030401321"</f>
        <v>248030401321</v>
      </c>
      <c r="L3495">
        <v>4606</v>
      </c>
      <c r="M3495" t="s">
        <v>2321</v>
      </c>
      <c r="N3495" t="str">
        <f>"248030401321"</f>
        <v>248030401321</v>
      </c>
      <c r="O3495" t="str">
        <f>"460004199105173824"</f>
        <v>460004199105173824</v>
      </c>
    </row>
    <row r="3496" customFormat="1" spans="1:15">
      <c r="A3496">
        <v>4608</v>
      </c>
      <c r="B3496" t="s">
        <v>4026</v>
      </c>
      <c r="C3496" t="str">
        <f>"450821199011150670"</f>
        <v>450821199011150670</v>
      </c>
      <c r="D3496" t="str">
        <f>"248030500508"</f>
        <v>248030500508</v>
      </c>
      <c r="L3496">
        <v>4608</v>
      </c>
      <c r="M3496" t="s">
        <v>4026</v>
      </c>
      <c r="N3496" t="str">
        <f>"248030500508"</f>
        <v>248030500508</v>
      </c>
      <c r="O3496" t="str">
        <f>"450821199011150670"</f>
        <v>450821199011150670</v>
      </c>
    </row>
    <row r="3497" customFormat="1" spans="1:15">
      <c r="A3497">
        <v>4611</v>
      </c>
      <c r="B3497" t="s">
        <v>4027</v>
      </c>
      <c r="C3497" t="str">
        <f>"460004199702134022"</f>
        <v>460004199702134022</v>
      </c>
      <c r="D3497" t="str">
        <f>"248030403104"</f>
        <v>248030403104</v>
      </c>
      <c r="L3497">
        <v>4611</v>
      </c>
      <c r="M3497" t="s">
        <v>4027</v>
      </c>
      <c r="N3497" t="str">
        <f>"248030403104"</f>
        <v>248030403104</v>
      </c>
      <c r="O3497" t="str">
        <f>"460004199702134022"</f>
        <v>460004199702134022</v>
      </c>
    </row>
    <row r="3498" customFormat="1" spans="1:15">
      <c r="A3498">
        <v>4612</v>
      </c>
      <c r="B3498" t="s">
        <v>4028</v>
      </c>
      <c r="C3498" t="str">
        <f>"460004200006130023"</f>
        <v>460004200006130023</v>
      </c>
      <c r="D3498" t="str">
        <f>"248030100626"</f>
        <v>248030100626</v>
      </c>
      <c r="L3498">
        <v>4612</v>
      </c>
      <c r="M3498" t="s">
        <v>4028</v>
      </c>
      <c r="N3498" t="str">
        <f>"248030100626"</f>
        <v>248030100626</v>
      </c>
      <c r="O3498" t="str">
        <f>"460004200006130023"</f>
        <v>460004200006130023</v>
      </c>
    </row>
    <row r="3499" customFormat="1" spans="1:15">
      <c r="A3499">
        <v>4613</v>
      </c>
      <c r="B3499" t="s">
        <v>4029</v>
      </c>
      <c r="C3499" t="str">
        <f>"469005200108190531"</f>
        <v>469005200108190531</v>
      </c>
      <c r="D3499" t="str">
        <f>"248030200206"</f>
        <v>248030200206</v>
      </c>
      <c r="L3499">
        <v>4613</v>
      </c>
      <c r="M3499" t="s">
        <v>4029</v>
      </c>
      <c r="N3499" t="str">
        <f>"248030200206"</f>
        <v>248030200206</v>
      </c>
      <c r="O3499" t="str">
        <f>"469005200108190531"</f>
        <v>469005200108190531</v>
      </c>
    </row>
    <row r="3500" customFormat="1" spans="1:15">
      <c r="A3500">
        <v>4614</v>
      </c>
      <c r="B3500" t="s">
        <v>4030</v>
      </c>
      <c r="C3500" t="str">
        <f>"432501199709221529"</f>
        <v>432501199709221529</v>
      </c>
      <c r="D3500" t="str">
        <f>"248030301912"</f>
        <v>248030301912</v>
      </c>
      <c r="L3500">
        <v>4614</v>
      </c>
      <c r="M3500" t="s">
        <v>4030</v>
      </c>
      <c r="N3500" t="str">
        <f>"248030301912"</f>
        <v>248030301912</v>
      </c>
      <c r="O3500" t="str">
        <f>"432501199709221529"</f>
        <v>432501199709221529</v>
      </c>
    </row>
    <row r="3501" customFormat="1" spans="1:15">
      <c r="A3501">
        <v>4616</v>
      </c>
      <c r="B3501" t="s">
        <v>4031</v>
      </c>
      <c r="C3501" t="str">
        <f>"469024199910291229"</f>
        <v>469024199910291229</v>
      </c>
      <c r="D3501" t="str">
        <f>"248030302119"</f>
        <v>248030302119</v>
      </c>
      <c r="L3501">
        <v>4616</v>
      </c>
      <c r="M3501" t="s">
        <v>4031</v>
      </c>
      <c r="N3501" t="str">
        <f>"248030302119"</f>
        <v>248030302119</v>
      </c>
      <c r="O3501" t="str">
        <f>"469024199910291229"</f>
        <v>469024199910291229</v>
      </c>
    </row>
    <row r="3502" customFormat="1" spans="1:15">
      <c r="A3502">
        <v>4617</v>
      </c>
      <c r="B3502" t="s">
        <v>4032</v>
      </c>
      <c r="C3502" t="str">
        <f>"460004198711151241"</f>
        <v>460004198711151241</v>
      </c>
      <c r="D3502" t="str">
        <f>"248030401706"</f>
        <v>248030401706</v>
      </c>
      <c r="L3502">
        <v>4617</v>
      </c>
      <c r="M3502" t="s">
        <v>4032</v>
      </c>
      <c r="N3502" t="str">
        <f>"248030401706"</f>
        <v>248030401706</v>
      </c>
      <c r="O3502" t="str">
        <f>"460004198711151241"</f>
        <v>460004198711151241</v>
      </c>
    </row>
    <row r="3503" customFormat="1" spans="1:15">
      <c r="A3503">
        <v>4618</v>
      </c>
      <c r="B3503" t="s">
        <v>4033</v>
      </c>
      <c r="C3503" t="str">
        <f>"450804200107154624"</f>
        <v>450804200107154624</v>
      </c>
      <c r="D3503" t="str">
        <f>"248030202812"</f>
        <v>248030202812</v>
      </c>
      <c r="L3503">
        <v>4618</v>
      </c>
      <c r="M3503" t="s">
        <v>4033</v>
      </c>
      <c r="N3503" t="str">
        <f>"248030202812"</f>
        <v>248030202812</v>
      </c>
      <c r="O3503" t="str">
        <f>"450804200107154624"</f>
        <v>450804200107154624</v>
      </c>
    </row>
    <row r="3504" customFormat="1" spans="1:15">
      <c r="A3504">
        <v>4619</v>
      </c>
      <c r="B3504" t="s">
        <v>4034</v>
      </c>
      <c r="C3504" t="str">
        <f>"610528199803250029"</f>
        <v>610528199803250029</v>
      </c>
      <c r="D3504" t="str">
        <f>"248030501803"</f>
        <v>248030501803</v>
      </c>
      <c r="L3504">
        <v>4619</v>
      </c>
      <c r="M3504" t="s">
        <v>4034</v>
      </c>
      <c r="N3504" t="str">
        <f>"248030501803"</f>
        <v>248030501803</v>
      </c>
      <c r="O3504" t="str">
        <f>"610528199803250029"</f>
        <v>610528199803250029</v>
      </c>
    </row>
    <row r="3505" customFormat="1" spans="1:15">
      <c r="A3505">
        <v>4620</v>
      </c>
      <c r="B3505" t="s">
        <v>498</v>
      </c>
      <c r="C3505" t="str">
        <f>"460003199703240621"</f>
        <v>460003199703240621</v>
      </c>
      <c r="D3505" t="str">
        <f>"248030500424"</f>
        <v>248030500424</v>
      </c>
      <c r="L3505">
        <v>4620</v>
      </c>
      <c r="M3505" t="s">
        <v>498</v>
      </c>
      <c r="N3505" t="str">
        <f>"248030500424"</f>
        <v>248030500424</v>
      </c>
      <c r="O3505" t="str">
        <f>"460003199703240621"</f>
        <v>460003199703240621</v>
      </c>
    </row>
    <row r="3506" customFormat="1" spans="1:15">
      <c r="A3506">
        <v>4621</v>
      </c>
      <c r="B3506" t="s">
        <v>4035</v>
      </c>
      <c r="C3506" t="str">
        <f>"460001199007180722"</f>
        <v>460001199007180722</v>
      </c>
      <c r="D3506" t="str">
        <f>"248030403208"</f>
        <v>248030403208</v>
      </c>
      <c r="L3506">
        <v>4621</v>
      </c>
      <c r="M3506" t="s">
        <v>4035</v>
      </c>
      <c r="N3506" t="str">
        <f>"248030403208"</f>
        <v>248030403208</v>
      </c>
      <c r="O3506" t="str">
        <f>"460001199007180722"</f>
        <v>460001199007180722</v>
      </c>
    </row>
    <row r="3507" customFormat="1" spans="1:15">
      <c r="A3507">
        <v>4622</v>
      </c>
      <c r="B3507" t="s">
        <v>199</v>
      </c>
      <c r="C3507" t="str">
        <f>"460001198802050762"</f>
        <v>460001198802050762</v>
      </c>
      <c r="D3507" t="str">
        <f>"248030101404"</f>
        <v>248030101404</v>
      </c>
      <c r="L3507">
        <v>4622</v>
      </c>
      <c r="M3507" t="s">
        <v>199</v>
      </c>
      <c r="N3507" t="str">
        <f>"248030101404"</f>
        <v>248030101404</v>
      </c>
      <c r="O3507" t="str">
        <f>"460001198802050762"</f>
        <v>460001198802050762</v>
      </c>
    </row>
    <row r="3508" customFormat="1" spans="1:15">
      <c r="A3508">
        <v>4624</v>
      </c>
      <c r="B3508" t="s">
        <v>4036</v>
      </c>
      <c r="C3508" t="str">
        <f>"460002199807200329"</f>
        <v>460002199807200329</v>
      </c>
      <c r="D3508" t="str">
        <f>"248030401304"</f>
        <v>248030401304</v>
      </c>
      <c r="L3508">
        <v>4624</v>
      </c>
      <c r="M3508" t="s">
        <v>4036</v>
      </c>
      <c r="N3508" t="str">
        <f>"248030401304"</f>
        <v>248030401304</v>
      </c>
      <c r="O3508" t="str">
        <f>"460002199807200329"</f>
        <v>460002199807200329</v>
      </c>
    </row>
    <row r="3509" customFormat="1" spans="1:15">
      <c r="A3509">
        <v>4625</v>
      </c>
      <c r="B3509" t="s">
        <v>4037</v>
      </c>
      <c r="C3509" t="str">
        <f>"460006199506114625"</f>
        <v>460006199506114625</v>
      </c>
      <c r="D3509" t="str">
        <f>"248030200622"</f>
        <v>248030200622</v>
      </c>
      <c r="L3509">
        <v>4625</v>
      </c>
      <c r="M3509" t="s">
        <v>4037</v>
      </c>
      <c r="N3509" t="str">
        <f>"248030200622"</f>
        <v>248030200622</v>
      </c>
      <c r="O3509" t="str">
        <f>"460006199506114625"</f>
        <v>460006199506114625</v>
      </c>
    </row>
    <row r="3510" customFormat="1" spans="1:15">
      <c r="A3510">
        <v>4627</v>
      </c>
      <c r="B3510" t="s">
        <v>4038</v>
      </c>
      <c r="C3510" t="str">
        <f>"46002519980911092X"</f>
        <v>46002519980911092X</v>
      </c>
      <c r="D3510" t="str">
        <f>"248030202006"</f>
        <v>248030202006</v>
      </c>
      <c r="L3510">
        <v>4627</v>
      </c>
      <c r="M3510" t="s">
        <v>4038</v>
      </c>
      <c r="N3510" t="str">
        <f>"248030202006"</f>
        <v>248030202006</v>
      </c>
      <c r="O3510" t="str">
        <f>"46002519980911092X"</f>
        <v>46002519980911092X</v>
      </c>
    </row>
    <row r="3511" customFormat="1" spans="1:15">
      <c r="A3511">
        <v>4628</v>
      </c>
      <c r="B3511" t="s">
        <v>4039</v>
      </c>
      <c r="C3511" t="str">
        <f>"421123200001076820"</f>
        <v>421123200001076820</v>
      </c>
      <c r="L3511">
        <v>4628</v>
      </c>
      <c r="M3511" t="s">
        <v>4039</v>
      </c>
      <c r="O3511" t="str">
        <f>"421123200001076820"</f>
        <v>421123200001076820</v>
      </c>
    </row>
    <row r="3512" customFormat="1" spans="1:15">
      <c r="A3512">
        <v>4629</v>
      </c>
      <c r="B3512" t="s">
        <v>4040</v>
      </c>
      <c r="C3512" t="str">
        <f>"460028200202200843"</f>
        <v>460028200202200843</v>
      </c>
      <c r="D3512" t="str">
        <f>"248030501001"</f>
        <v>248030501001</v>
      </c>
      <c r="L3512">
        <v>4629</v>
      </c>
      <c r="M3512" t="s">
        <v>4040</v>
      </c>
      <c r="N3512" t="str">
        <f>"248030501001"</f>
        <v>248030501001</v>
      </c>
      <c r="O3512" t="str">
        <f>"460028200202200843"</f>
        <v>460028200202200843</v>
      </c>
    </row>
    <row r="3513" customFormat="1" spans="1:15">
      <c r="A3513">
        <v>4630</v>
      </c>
      <c r="B3513" t="s">
        <v>4041</v>
      </c>
      <c r="C3513" t="str">
        <f>"460004199106284825"</f>
        <v>460004199106284825</v>
      </c>
      <c r="L3513">
        <v>4630</v>
      </c>
      <c r="M3513" t="s">
        <v>4041</v>
      </c>
      <c r="O3513" t="str">
        <f>"460004199106284825"</f>
        <v>460004199106284825</v>
      </c>
    </row>
    <row r="3514" customFormat="1" spans="1:15">
      <c r="A3514">
        <v>4631</v>
      </c>
      <c r="B3514" t="s">
        <v>4042</v>
      </c>
      <c r="C3514" t="str">
        <f>"460003200101184429"</f>
        <v>460003200101184429</v>
      </c>
      <c r="D3514" t="str">
        <f>"248030101420"</f>
        <v>248030101420</v>
      </c>
      <c r="L3514">
        <v>4631</v>
      </c>
      <c r="M3514" t="s">
        <v>4042</v>
      </c>
      <c r="N3514" t="str">
        <f>"248030101420"</f>
        <v>248030101420</v>
      </c>
      <c r="O3514" t="str">
        <f>"460003200101184429"</f>
        <v>460003200101184429</v>
      </c>
    </row>
    <row r="3515" customFormat="1" spans="1:15">
      <c r="A3515">
        <v>4632</v>
      </c>
      <c r="B3515" t="s">
        <v>4043</v>
      </c>
      <c r="C3515" t="str">
        <f>"460003199803104010"</f>
        <v>460003199803104010</v>
      </c>
      <c r="D3515" t="str">
        <f>"248030400929"</f>
        <v>248030400929</v>
      </c>
      <c r="L3515">
        <v>4632</v>
      </c>
      <c r="M3515" t="s">
        <v>4043</v>
      </c>
      <c r="N3515" t="str">
        <f>"248030400929"</f>
        <v>248030400929</v>
      </c>
      <c r="O3515" t="str">
        <f>"460003199803104010"</f>
        <v>460003199803104010</v>
      </c>
    </row>
    <row r="3516" customFormat="1" spans="1:15">
      <c r="A3516">
        <v>4633</v>
      </c>
      <c r="B3516" t="s">
        <v>367</v>
      </c>
      <c r="C3516" t="str">
        <f>"469006199710019826"</f>
        <v>469006199710019826</v>
      </c>
      <c r="D3516" t="str">
        <f>"248030502613"</f>
        <v>248030502613</v>
      </c>
      <c r="L3516">
        <v>4633</v>
      </c>
      <c r="M3516" t="s">
        <v>367</v>
      </c>
      <c r="N3516" t="str">
        <f>"248030502613"</f>
        <v>248030502613</v>
      </c>
      <c r="O3516" t="str">
        <f>"469006199710019826"</f>
        <v>469006199710019826</v>
      </c>
    </row>
    <row r="3517" customFormat="1" spans="1:15">
      <c r="A3517">
        <v>4635</v>
      </c>
      <c r="B3517" t="s">
        <v>4044</v>
      </c>
      <c r="C3517" t="str">
        <f>"460001199305121712"</f>
        <v>460001199305121712</v>
      </c>
      <c r="D3517" t="str">
        <f>"248030400323"</f>
        <v>248030400323</v>
      </c>
      <c r="L3517">
        <v>4635</v>
      </c>
      <c r="M3517" t="s">
        <v>4044</v>
      </c>
      <c r="N3517" t="str">
        <f>"248030400323"</f>
        <v>248030400323</v>
      </c>
      <c r="O3517" t="str">
        <f>"460001199305121712"</f>
        <v>460001199305121712</v>
      </c>
    </row>
    <row r="3518" customFormat="1" spans="1:15">
      <c r="A3518">
        <v>4636</v>
      </c>
      <c r="B3518" t="s">
        <v>4045</v>
      </c>
      <c r="C3518" t="str">
        <f>"460104199609200625"</f>
        <v>460104199609200625</v>
      </c>
      <c r="D3518" t="str">
        <f>"248030104025"</f>
        <v>248030104025</v>
      </c>
      <c r="L3518">
        <v>4636</v>
      </c>
      <c r="M3518" t="s">
        <v>4045</v>
      </c>
      <c r="N3518" t="str">
        <f>"248030104025"</f>
        <v>248030104025</v>
      </c>
      <c r="O3518" t="str">
        <f>"460104199609200625"</f>
        <v>460104199609200625</v>
      </c>
    </row>
    <row r="3519" customFormat="1" spans="1:15">
      <c r="A3519">
        <v>4638</v>
      </c>
      <c r="B3519" t="s">
        <v>4046</v>
      </c>
      <c r="C3519" t="str">
        <f>"460102199712010640"</f>
        <v>460102199712010640</v>
      </c>
      <c r="L3519">
        <v>4638</v>
      </c>
      <c r="M3519" t="s">
        <v>4046</v>
      </c>
      <c r="O3519" t="str">
        <f>"460102199712010640"</f>
        <v>460102199712010640</v>
      </c>
    </row>
    <row r="3520" customFormat="1" spans="1:15">
      <c r="A3520">
        <v>4639</v>
      </c>
      <c r="B3520" t="s">
        <v>4047</v>
      </c>
      <c r="C3520" t="str">
        <f>"460007199211207214"</f>
        <v>460007199211207214</v>
      </c>
      <c r="D3520" t="str">
        <f>"248030301227"</f>
        <v>248030301227</v>
      </c>
      <c r="L3520">
        <v>4639</v>
      </c>
      <c r="M3520" t="s">
        <v>4047</v>
      </c>
      <c r="N3520" t="str">
        <f>"248030301227"</f>
        <v>248030301227</v>
      </c>
      <c r="O3520" t="str">
        <f>"460007199211207214"</f>
        <v>460007199211207214</v>
      </c>
    </row>
    <row r="3521" customFormat="1" spans="1:15">
      <c r="A3521">
        <v>4640</v>
      </c>
      <c r="B3521" t="s">
        <v>4048</v>
      </c>
      <c r="C3521" t="str">
        <f>"46010320011220032X"</f>
        <v>46010320011220032X</v>
      </c>
      <c r="D3521" t="str">
        <f>"248030502526"</f>
        <v>248030502526</v>
      </c>
      <c r="L3521">
        <v>4640</v>
      </c>
      <c r="M3521" t="s">
        <v>4048</v>
      </c>
      <c r="N3521" t="str">
        <f>"248030502526"</f>
        <v>248030502526</v>
      </c>
      <c r="O3521" t="str">
        <f>"46010320011220032X"</f>
        <v>46010320011220032X</v>
      </c>
    </row>
    <row r="3522" customFormat="1" spans="1:15">
      <c r="A3522">
        <v>4641</v>
      </c>
      <c r="B3522" t="s">
        <v>4049</v>
      </c>
      <c r="C3522" t="str">
        <f>"460007199804266180"</f>
        <v>460007199804266180</v>
      </c>
      <c r="D3522" t="str">
        <f>"248030302008"</f>
        <v>248030302008</v>
      </c>
      <c r="L3522">
        <v>4641</v>
      </c>
      <c r="M3522" t="s">
        <v>4049</v>
      </c>
      <c r="N3522" t="str">
        <f>"248030302008"</f>
        <v>248030302008</v>
      </c>
      <c r="O3522" t="str">
        <f>"460007199804266180"</f>
        <v>460007199804266180</v>
      </c>
    </row>
    <row r="3523" customFormat="1" spans="1:15">
      <c r="A3523">
        <v>4642</v>
      </c>
      <c r="B3523" t="s">
        <v>4050</v>
      </c>
      <c r="C3523" t="str">
        <f>"469022200107150323"</f>
        <v>469022200107150323</v>
      </c>
      <c r="D3523" t="str">
        <f>"248030302628"</f>
        <v>248030302628</v>
      </c>
      <c r="L3523">
        <v>4642</v>
      </c>
      <c r="M3523" t="s">
        <v>4050</v>
      </c>
      <c r="N3523" t="str">
        <f>"248030302628"</f>
        <v>248030302628</v>
      </c>
      <c r="O3523" t="str">
        <f>"469022200107150323"</f>
        <v>469022200107150323</v>
      </c>
    </row>
    <row r="3524" customFormat="1" spans="1:15">
      <c r="A3524">
        <v>4644</v>
      </c>
      <c r="B3524" t="s">
        <v>4051</v>
      </c>
      <c r="C3524" t="str">
        <f>"469003200011084617"</f>
        <v>469003200011084617</v>
      </c>
      <c r="D3524" t="str">
        <f>"248030300825"</f>
        <v>248030300825</v>
      </c>
      <c r="L3524">
        <v>4644</v>
      </c>
      <c r="M3524" t="s">
        <v>4051</v>
      </c>
      <c r="N3524" t="str">
        <f>"248030300825"</f>
        <v>248030300825</v>
      </c>
      <c r="O3524" t="str">
        <f>"469003200011084617"</f>
        <v>469003200011084617</v>
      </c>
    </row>
    <row r="3525" customFormat="1" spans="1:15">
      <c r="A3525">
        <v>4645</v>
      </c>
      <c r="B3525" t="s">
        <v>4052</v>
      </c>
      <c r="C3525" t="str">
        <f>"610204199907070017"</f>
        <v>610204199907070017</v>
      </c>
      <c r="L3525">
        <v>4645</v>
      </c>
      <c r="M3525" t="s">
        <v>4052</v>
      </c>
      <c r="O3525" t="str">
        <f>"610204199907070017"</f>
        <v>610204199907070017</v>
      </c>
    </row>
    <row r="3526" customFormat="1" spans="1:15">
      <c r="A3526">
        <v>4646</v>
      </c>
      <c r="B3526" t="s">
        <v>4053</v>
      </c>
      <c r="C3526" t="str">
        <f>"460006200110077229"</f>
        <v>460006200110077229</v>
      </c>
      <c r="D3526" t="str">
        <f>"248030104626"</f>
        <v>248030104626</v>
      </c>
      <c r="L3526">
        <v>4646</v>
      </c>
      <c r="M3526" t="s">
        <v>4053</v>
      </c>
      <c r="N3526" t="str">
        <f>"248030104626"</f>
        <v>248030104626</v>
      </c>
      <c r="O3526" t="str">
        <f>"460006200110077229"</f>
        <v>460006200110077229</v>
      </c>
    </row>
    <row r="3527" customFormat="1" spans="1:15">
      <c r="A3527">
        <v>4647</v>
      </c>
      <c r="B3527" t="s">
        <v>4054</v>
      </c>
      <c r="C3527" t="str">
        <f>"460006199701153726"</f>
        <v>460006199701153726</v>
      </c>
      <c r="D3527" t="str">
        <f>"248030301407"</f>
        <v>248030301407</v>
      </c>
      <c r="L3527">
        <v>4647</v>
      </c>
      <c r="M3527" t="s">
        <v>4054</v>
      </c>
      <c r="N3527" t="str">
        <f>"248030301407"</f>
        <v>248030301407</v>
      </c>
      <c r="O3527" t="str">
        <f>"460006199701153726"</f>
        <v>460006199701153726</v>
      </c>
    </row>
    <row r="3528" customFormat="1" spans="1:15">
      <c r="A3528">
        <v>4648</v>
      </c>
      <c r="B3528" t="s">
        <v>4055</v>
      </c>
      <c r="C3528" t="str">
        <f>"460028199211167226"</f>
        <v>460028199211167226</v>
      </c>
      <c r="L3528">
        <v>4648</v>
      </c>
      <c r="M3528" t="s">
        <v>4055</v>
      </c>
      <c r="O3528" t="str">
        <f>"460028199211167226"</f>
        <v>460028199211167226</v>
      </c>
    </row>
    <row r="3529" customFormat="1" spans="1:15">
      <c r="A3529">
        <v>4649</v>
      </c>
      <c r="B3529" t="s">
        <v>4056</v>
      </c>
      <c r="C3529" t="str">
        <f>"469007199805184361"</f>
        <v>469007199805184361</v>
      </c>
      <c r="D3529" t="str">
        <f>"248030103715"</f>
        <v>248030103715</v>
      </c>
      <c r="L3529">
        <v>4649</v>
      </c>
      <c r="M3529" t="s">
        <v>4056</v>
      </c>
      <c r="N3529" t="str">
        <f>"248030103715"</f>
        <v>248030103715</v>
      </c>
      <c r="O3529" t="str">
        <f>"469007199805184361"</f>
        <v>469007199805184361</v>
      </c>
    </row>
    <row r="3530" customFormat="1" spans="1:15">
      <c r="A3530">
        <v>4650</v>
      </c>
      <c r="B3530" t="s">
        <v>4057</v>
      </c>
      <c r="C3530" t="str">
        <f>"46003619930320184X"</f>
        <v>46003619930320184X</v>
      </c>
      <c r="D3530" t="str">
        <f>"248030402302"</f>
        <v>248030402302</v>
      </c>
      <c r="L3530">
        <v>4650</v>
      </c>
      <c r="M3530" t="s">
        <v>4057</v>
      </c>
      <c r="N3530" t="str">
        <f>"248030402302"</f>
        <v>248030402302</v>
      </c>
      <c r="O3530" t="str">
        <f>"46003619930320184X"</f>
        <v>46003619930320184X</v>
      </c>
    </row>
    <row r="3531" customFormat="1" spans="1:15">
      <c r="A3531">
        <v>4651</v>
      </c>
      <c r="B3531" t="s">
        <v>4058</v>
      </c>
      <c r="C3531" t="str">
        <f>"460033199808055084"</f>
        <v>460033199808055084</v>
      </c>
      <c r="D3531" t="str">
        <f>"248030502712"</f>
        <v>248030502712</v>
      </c>
      <c r="L3531">
        <v>4651</v>
      </c>
      <c r="M3531" t="s">
        <v>4058</v>
      </c>
      <c r="N3531" t="str">
        <f>"248030502712"</f>
        <v>248030502712</v>
      </c>
      <c r="O3531" t="str">
        <f>"460033199808055084"</f>
        <v>460033199808055084</v>
      </c>
    </row>
    <row r="3532" customFormat="1" spans="1:15">
      <c r="A3532">
        <v>4652</v>
      </c>
      <c r="B3532" t="s">
        <v>4059</v>
      </c>
      <c r="C3532" t="str">
        <f>"460200199505090011"</f>
        <v>460200199505090011</v>
      </c>
      <c r="D3532" t="str">
        <f>"248030300323"</f>
        <v>248030300323</v>
      </c>
      <c r="L3532">
        <v>4652</v>
      </c>
      <c r="M3532" t="s">
        <v>4059</v>
      </c>
      <c r="N3532" t="str">
        <f>"248030300323"</f>
        <v>248030300323</v>
      </c>
      <c r="O3532" t="str">
        <f>"460200199505090011"</f>
        <v>460200199505090011</v>
      </c>
    </row>
    <row r="3533" customFormat="1" spans="1:15">
      <c r="A3533">
        <v>4653</v>
      </c>
      <c r="B3533" t="s">
        <v>4060</v>
      </c>
      <c r="C3533" t="str">
        <f>"46000419920924202X"</f>
        <v>46000419920924202X</v>
      </c>
      <c r="D3533" t="str">
        <f>"248030104629"</f>
        <v>248030104629</v>
      </c>
      <c r="L3533">
        <v>4653</v>
      </c>
      <c r="M3533" t="s">
        <v>4060</v>
      </c>
      <c r="N3533" t="str">
        <f>"248030104629"</f>
        <v>248030104629</v>
      </c>
      <c r="O3533" t="str">
        <f>"46000419920924202X"</f>
        <v>46000419920924202X</v>
      </c>
    </row>
    <row r="3534" customFormat="1" spans="1:15">
      <c r="A3534">
        <v>4654</v>
      </c>
      <c r="B3534" t="s">
        <v>4061</v>
      </c>
      <c r="C3534" t="str">
        <f>"460103199410022722"</f>
        <v>460103199410022722</v>
      </c>
      <c r="L3534">
        <v>4654</v>
      </c>
      <c r="M3534" t="s">
        <v>4061</v>
      </c>
      <c r="O3534" t="str">
        <f>"460103199410022722"</f>
        <v>460103199410022722</v>
      </c>
    </row>
    <row r="3535" customFormat="1" spans="1:15">
      <c r="A3535">
        <v>4655</v>
      </c>
      <c r="B3535" t="s">
        <v>148</v>
      </c>
      <c r="C3535" t="str">
        <f>"460002199905141027"</f>
        <v>460002199905141027</v>
      </c>
      <c r="D3535" t="str">
        <f>"248030301322"</f>
        <v>248030301322</v>
      </c>
      <c r="L3535">
        <v>4655</v>
      </c>
      <c r="M3535" t="s">
        <v>148</v>
      </c>
      <c r="N3535" t="str">
        <f>"248030301322"</f>
        <v>248030301322</v>
      </c>
      <c r="O3535" t="str">
        <f>"460002199905141027"</f>
        <v>460002199905141027</v>
      </c>
    </row>
    <row r="3536" customFormat="1" spans="1:15">
      <c r="A3536">
        <v>4656</v>
      </c>
      <c r="B3536" t="s">
        <v>4062</v>
      </c>
      <c r="C3536" t="str">
        <f>"142701199207231243"</f>
        <v>142701199207231243</v>
      </c>
      <c r="D3536" t="str">
        <f>"248030402412"</f>
        <v>248030402412</v>
      </c>
      <c r="L3536">
        <v>4656</v>
      </c>
      <c r="M3536" t="s">
        <v>4062</v>
      </c>
      <c r="N3536" t="str">
        <f>"248030402412"</f>
        <v>248030402412</v>
      </c>
      <c r="O3536" t="str">
        <f>"142701199207231243"</f>
        <v>142701199207231243</v>
      </c>
    </row>
    <row r="3537" customFormat="1" spans="1:15">
      <c r="A3537">
        <v>4657</v>
      </c>
      <c r="B3537" t="s">
        <v>4063</v>
      </c>
      <c r="C3537" t="str">
        <f>"460006199710151642"</f>
        <v>460006199710151642</v>
      </c>
      <c r="D3537" t="str">
        <f>"248030100323"</f>
        <v>248030100323</v>
      </c>
      <c r="L3537">
        <v>4657</v>
      </c>
      <c r="M3537" t="s">
        <v>4063</v>
      </c>
      <c r="N3537" t="str">
        <f>"248030100323"</f>
        <v>248030100323</v>
      </c>
      <c r="O3537" t="str">
        <f>"460006199710151642"</f>
        <v>460006199710151642</v>
      </c>
    </row>
    <row r="3538" customFormat="1" spans="1:15">
      <c r="A3538">
        <v>4658</v>
      </c>
      <c r="B3538" t="s">
        <v>4064</v>
      </c>
      <c r="C3538" t="str">
        <f>"46010219990217032X"</f>
        <v>46010219990217032X</v>
      </c>
      <c r="D3538" t="str">
        <f>"248030300926"</f>
        <v>248030300926</v>
      </c>
      <c r="L3538">
        <v>4658</v>
      </c>
      <c r="M3538" t="s">
        <v>4064</v>
      </c>
      <c r="N3538" t="str">
        <f>"248030300926"</f>
        <v>248030300926</v>
      </c>
      <c r="O3538" t="str">
        <f>"46010219990217032X"</f>
        <v>46010219990217032X</v>
      </c>
    </row>
    <row r="3539" customFormat="1" spans="1:15">
      <c r="A3539">
        <v>4659</v>
      </c>
      <c r="B3539" t="s">
        <v>4065</v>
      </c>
      <c r="C3539" t="str">
        <f>"460103200005012729"</f>
        <v>460103200005012729</v>
      </c>
      <c r="D3539" t="str">
        <f>"248030103127"</f>
        <v>248030103127</v>
      </c>
      <c r="L3539">
        <v>4659</v>
      </c>
      <c r="M3539" t="s">
        <v>4065</v>
      </c>
      <c r="N3539" t="str">
        <f>"248030103127"</f>
        <v>248030103127</v>
      </c>
      <c r="O3539" t="str">
        <f>"460103200005012729"</f>
        <v>460103200005012729</v>
      </c>
    </row>
    <row r="3540" customFormat="1" spans="1:15">
      <c r="A3540">
        <v>4660</v>
      </c>
      <c r="B3540" t="s">
        <v>4066</v>
      </c>
      <c r="C3540" t="str">
        <f>"469023200111086228"</f>
        <v>469023200111086228</v>
      </c>
      <c r="D3540" t="str">
        <f>"248030101709"</f>
        <v>248030101709</v>
      </c>
      <c r="L3540">
        <v>4660</v>
      </c>
      <c r="M3540" t="s">
        <v>4066</v>
      </c>
      <c r="N3540" t="str">
        <f>"248030101709"</f>
        <v>248030101709</v>
      </c>
      <c r="O3540" t="str">
        <f>"469023200111086228"</f>
        <v>469023200111086228</v>
      </c>
    </row>
    <row r="3541" customFormat="1" spans="1:15">
      <c r="A3541">
        <v>4661</v>
      </c>
      <c r="B3541" t="s">
        <v>4067</v>
      </c>
      <c r="C3541" t="str">
        <f>"46000419950401322X"</f>
        <v>46000419950401322X</v>
      </c>
      <c r="D3541" t="str">
        <f>"248030502012"</f>
        <v>248030502012</v>
      </c>
      <c r="L3541">
        <v>4661</v>
      </c>
      <c r="M3541" t="s">
        <v>4067</v>
      </c>
      <c r="N3541" t="str">
        <f>"248030502012"</f>
        <v>248030502012</v>
      </c>
      <c r="O3541" t="str">
        <f>"46000419950401322X"</f>
        <v>46000419950401322X</v>
      </c>
    </row>
    <row r="3542" customFormat="1" spans="1:15">
      <c r="A3542">
        <v>4662</v>
      </c>
      <c r="B3542" t="s">
        <v>4068</v>
      </c>
      <c r="C3542" t="str">
        <f>"460006199706147827"</f>
        <v>460006199706147827</v>
      </c>
      <c r="D3542" t="str">
        <f>"248030501619"</f>
        <v>248030501619</v>
      </c>
      <c r="L3542">
        <v>4662</v>
      </c>
      <c r="M3542" t="s">
        <v>4068</v>
      </c>
      <c r="N3542" t="str">
        <f>"248030501619"</f>
        <v>248030501619</v>
      </c>
      <c r="O3542" t="str">
        <f>"460006199706147827"</f>
        <v>460006199706147827</v>
      </c>
    </row>
    <row r="3543" customFormat="1" spans="1:15">
      <c r="A3543">
        <v>4663</v>
      </c>
      <c r="B3543" t="s">
        <v>4069</v>
      </c>
      <c r="C3543" t="str">
        <f>"352203199201150017"</f>
        <v>352203199201150017</v>
      </c>
      <c r="D3543" t="str">
        <f>"248030201109"</f>
        <v>248030201109</v>
      </c>
      <c r="L3543">
        <v>4663</v>
      </c>
      <c r="M3543" t="s">
        <v>4069</v>
      </c>
      <c r="N3543" t="str">
        <f>"248030201109"</f>
        <v>248030201109</v>
      </c>
      <c r="O3543" t="str">
        <f>"352203199201150017"</f>
        <v>352203199201150017</v>
      </c>
    </row>
    <row r="3544" customFormat="1" spans="1:15">
      <c r="A3544">
        <v>4664</v>
      </c>
      <c r="B3544" t="s">
        <v>4070</v>
      </c>
      <c r="C3544" t="str">
        <f>"431022199811011660"</f>
        <v>431022199811011660</v>
      </c>
      <c r="D3544" t="str">
        <f>"248030202709"</f>
        <v>248030202709</v>
      </c>
      <c r="L3544">
        <v>4664</v>
      </c>
      <c r="M3544" t="s">
        <v>4070</v>
      </c>
      <c r="N3544" t="str">
        <f>"248030202709"</f>
        <v>248030202709</v>
      </c>
      <c r="O3544" t="str">
        <f>"431022199811011660"</f>
        <v>431022199811011660</v>
      </c>
    </row>
    <row r="3545" customFormat="1" spans="1:15">
      <c r="A3545">
        <v>4665</v>
      </c>
      <c r="B3545" t="s">
        <v>4071</v>
      </c>
      <c r="C3545" t="str">
        <f>"460103199607161523"</f>
        <v>460103199607161523</v>
      </c>
      <c r="D3545" t="str">
        <f>"248030500619"</f>
        <v>248030500619</v>
      </c>
      <c r="L3545">
        <v>4665</v>
      </c>
      <c r="M3545" t="s">
        <v>4071</v>
      </c>
      <c r="N3545" t="str">
        <f>"248030500619"</f>
        <v>248030500619</v>
      </c>
      <c r="O3545" t="str">
        <f>"460103199607161523"</f>
        <v>460103199607161523</v>
      </c>
    </row>
    <row r="3546" customFormat="1" spans="1:15">
      <c r="A3546">
        <v>4668</v>
      </c>
      <c r="B3546" t="s">
        <v>4072</v>
      </c>
      <c r="C3546" t="str">
        <f>"469024200204250820"</f>
        <v>469024200204250820</v>
      </c>
      <c r="D3546" t="str">
        <f>"248030302424"</f>
        <v>248030302424</v>
      </c>
      <c r="L3546">
        <v>4668</v>
      </c>
      <c r="M3546" t="s">
        <v>4072</v>
      </c>
      <c r="N3546" t="str">
        <f>"248030302424"</f>
        <v>248030302424</v>
      </c>
      <c r="O3546" t="str">
        <f>"469024200204250820"</f>
        <v>469024200204250820</v>
      </c>
    </row>
    <row r="3547" customFormat="1" spans="1:15">
      <c r="A3547">
        <v>4669</v>
      </c>
      <c r="B3547" t="s">
        <v>4073</v>
      </c>
      <c r="C3547" t="str">
        <f>"460003199402017047"</f>
        <v>460003199402017047</v>
      </c>
      <c r="L3547">
        <v>4669</v>
      </c>
      <c r="M3547" t="s">
        <v>4073</v>
      </c>
      <c r="O3547" t="str">
        <f>"460003199402017047"</f>
        <v>460003199402017047</v>
      </c>
    </row>
    <row r="3548" customFormat="1" spans="1:15">
      <c r="A3548">
        <v>4670</v>
      </c>
      <c r="B3548" t="s">
        <v>4074</v>
      </c>
      <c r="C3548" t="str">
        <f>"469025200105315429"</f>
        <v>469025200105315429</v>
      </c>
      <c r="L3548">
        <v>4670</v>
      </c>
      <c r="M3548" t="s">
        <v>4074</v>
      </c>
      <c r="O3548" t="str">
        <f>"469025200105315429"</f>
        <v>469025200105315429</v>
      </c>
    </row>
    <row r="3549" customFormat="1" spans="1:15">
      <c r="A3549">
        <v>4671</v>
      </c>
      <c r="B3549" t="s">
        <v>4075</v>
      </c>
      <c r="C3549" t="str">
        <f>"460006200208104846"</f>
        <v>460006200208104846</v>
      </c>
      <c r="D3549" t="str">
        <f>"248030501628"</f>
        <v>248030501628</v>
      </c>
      <c r="L3549">
        <v>4671</v>
      </c>
      <c r="M3549" t="s">
        <v>4075</v>
      </c>
      <c r="N3549" t="str">
        <f>"248030501628"</f>
        <v>248030501628</v>
      </c>
      <c r="O3549" t="str">
        <f>"460006200208104846"</f>
        <v>460006200208104846</v>
      </c>
    </row>
    <row r="3550" customFormat="1" spans="1:15">
      <c r="A3550">
        <v>4672</v>
      </c>
      <c r="B3550" t="s">
        <v>4076</v>
      </c>
      <c r="C3550" t="str">
        <f>"460006200307011629"</f>
        <v>460006200307011629</v>
      </c>
      <c r="D3550" t="str">
        <f>"248030302217"</f>
        <v>248030302217</v>
      </c>
      <c r="L3550">
        <v>4672</v>
      </c>
      <c r="M3550" t="s">
        <v>4076</v>
      </c>
      <c r="N3550" t="str">
        <f>"248030302217"</f>
        <v>248030302217</v>
      </c>
      <c r="O3550" t="str">
        <f>"460006200307011629"</f>
        <v>460006200307011629</v>
      </c>
    </row>
    <row r="3551" customFormat="1" spans="1:15">
      <c r="A3551">
        <v>4673</v>
      </c>
      <c r="B3551" t="s">
        <v>4077</v>
      </c>
      <c r="C3551" t="str">
        <f>"460004200105280828"</f>
        <v>460004200105280828</v>
      </c>
      <c r="D3551" t="str">
        <f>"248030403325"</f>
        <v>248030403325</v>
      </c>
      <c r="L3551">
        <v>4673</v>
      </c>
      <c r="M3551" t="s">
        <v>4077</v>
      </c>
      <c r="N3551" t="str">
        <f>"248030403325"</f>
        <v>248030403325</v>
      </c>
      <c r="O3551" t="str">
        <f>"460004200105280828"</f>
        <v>460004200105280828</v>
      </c>
    </row>
    <row r="3552" customFormat="1" spans="1:15">
      <c r="A3552">
        <v>4675</v>
      </c>
      <c r="B3552" t="s">
        <v>4078</v>
      </c>
      <c r="C3552" t="str">
        <f>"460033199806253220"</f>
        <v>460033199806253220</v>
      </c>
      <c r="D3552" t="str">
        <f>"248030101820"</f>
        <v>248030101820</v>
      </c>
      <c r="L3552">
        <v>4675</v>
      </c>
      <c r="M3552" t="s">
        <v>4078</v>
      </c>
      <c r="N3552" t="str">
        <f>"248030101820"</f>
        <v>248030101820</v>
      </c>
      <c r="O3552" t="str">
        <f>"460033199806253220"</f>
        <v>460033199806253220</v>
      </c>
    </row>
    <row r="3553" customFormat="1" spans="1:15">
      <c r="A3553">
        <v>4676</v>
      </c>
      <c r="B3553" t="s">
        <v>4079</v>
      </c>
      <c r="C3553" t="str">
        <f>"460102200010182128"</f>
        <v>460102200010182128</v>
      </c>
      <c r="D3553" t="str">
        <f>"248030203925"</f>
        <v>248030203925</v>
      </c>
      <c r="L3553">
        <v>4676</v>
      </c>
      <c r="M3553" t="s">
        <v>4079</v>
      </c>
      <c r="N3553" t="str">
        <f>"248030203925"</f>
        <v>248030203925</v>
      </c>
      <c r="O3553" t="str">
        <f>"460102200010182128"</f>
        <v>460102200010182128</v>
      </c>
    </row>
    <row r="3554" customFormat="1" spans="1:15">
      <c r="A3554">
        <v>4677</v>
      </c>
      <c r="B3554" t="s">
        <v>4080</v>
      </c>
      <c r="C3554" t="str">
        <f>"469023200302028223"</f>
        <v>469023200302028223</v>
      </c>
      <c r="D3554" t="str">
        <f>"248030100822"</f>
        <v>248030100822</v>
      </c>
      <c r="L3554">
        <v>4677</v>
      </c>
      <c r="M3554" t="s">
        <v>4080</v>
      </c>
      <c r="N3554" t="str">
        <f>"248030100822"</f>
        <v>248030100822</v>
      </c>
      <c r="O3554" t="str">
        <f>"469023200302028223"</f>
        <v>469023200302028223</v>
      </c>
    </row>
    <row r="3555" customFormat="1" spans="1:15">
      <c r="A3555">
        <v>4678</v>
      </c>
      <c r="B3555" t="s">
        <v>4081</v>
      </c>
      <c r="C3555" t="str">
        <f>"460003199603216624"</f>
        <v>460003199603216624</v>
      </c>
      <c r="D3555" t="str">
        <f>"248030101101"</f>
        <v>248030101101</v>
      </c>
      <c r="L3555">
        <v>4678</v>
      </c>
      <c r="M3555" t="s">
        <v>4081</v>
      </c>
      <c r="N3555" t="str">
        <f>"248030101101"</f>
        <v>248030101101</v>
      </c>
      <c r="O3555" t="str">
        <f>"460003199603216624"</f>
        <v>460003199603216624</v>
      </c>
    </row>
    <row r="3556" customFormat="1" spans="1:15">
      <c r="A3556">
        <v>4679</v>
      </c>
      <c r="B3556" t="s">
        <v>4082</v>
      </c>
      <c r="C3556" t="str">
        <f>"469003199508132746"</f>
        <v>469003199508132746</v>
      </c>
      <c r="D3556" t="str">
        <f>"248030302423"</f>
        <v>248030302423</v>
      </c>
      <c r="L3556">
        <v>4679</v>
      </c>
      <c r="M3556" t="s">
        <v>4082</v>
      </c>
      <c r="N3556" t="str">
        <f>"248030302423"</f>
        <v>248030302423</v>
      </c>
      <c r="O3556" t="str">
        <f>"469003199508132746"</f>
        <v>469003199508132746</v>
      </c>
    </row>
    <row r="3557" customFormat="1" spans="1:15">
      <c r="A3557">
        <v>4681</v>
      </c>
      <c r="B3557" t="s">
        <v>4083</v>
      </c>
      <c r="C3557" t="str">
        <f>"460102199805261844"</f>
        <v>460102199805261844</v>
      </c>
      <c r="D3557" t="str">
        <f>"248030500303"</f>
        <v>248030500303</v>
      </c>
      <c r="L3557">
        <v>4681</v>
      </c>
      <c r="M3557" t="s">
        <v>4083</v>
      </c>
      <c r="N3557" t="str">
        <f>"248030500303"</f>
        <v>248030500303</v>
      </c>
      <c r="O3557" t="str">
        <f>"460102199805261844"</f>
        <v>460102199805261844</v>
      </c>
    </row>
    <row r="3558" customFormat="1" spans="1:15">
      <c r="A3558">
        <v>4682</v>
      </c>
      <c r="B3558" t="s">
        <v>4084</v>
      </c>
      <c r="C3558" t="str">
        <f>"469023199709252993"</f>
        <v>469023199709252993</v>
      </c>
      <c r="D3558" t="str">
        <f>"248030300803"</f>
        <v>248030300803</v>
      </c>
      <c r="L3558">
        <v>4682</v>
      </c>
      <c r="M3558" t="s">
        <v>4084</v>
      </c>
      <c r="N3558" t="str">
        <f>"248030300803"</f>
        <v>248030300803</v>
      </c>
      <c r="O3558" t="str">
        <f>"469023199709252993"</f>
        <v>469023199709252993</v>
      </c>
    </row>
    <row r="3559" customFormat="1" spans="1:15">
      <c r="A3559">
        <v>4684</v>
      </c>
      <c r="B3559" t="s">
        <v>4085</v>
      </c>
      <c r="C3559" t="str">
        <f>"460026199504210627"</f>
        <v>460026199504210627</v>
      </c>
      <c r="D3559" t="str">
        <f>"248030301418"</f>
        <v>248030301418</v>
      </c>
      <c r="L3559">
        <v>4684</v>
      </c>
      <c r="M3559" t="s">
        <v>4085</v>
      </c>
      <c r="N3559" t="str">
        <f>"248030301418"</f>
        <v>248030301418</v>
      </c>
      <c r="O3559" t="str">
        <f>"460026199504210627"</f>
        <v>460026199504210627</v>
      </c>
    </row>
    <row r="3560" customFormat="1" spans="1:15">
      <c r="A3560">
        <v>4685</v>
      </c>
      <c r="B3560" t="s">
        <v>4086</v>
      </c>
      <c r="C3560" t="str">
        <f>"460102200211041567"</f>
        <v>460102200211041567</v>
      </c>
      <c r="D3560" t="str">
        <f>"248030104906"</f>
        <v>248030104906</v>
      </c>
      <c r="L3560">
        <v>4685</v>
      </c>
      <c r="M3560" t="s">
        <v>4086</v>
      </c>
      <c r="N3560" t="str">
        <f>"248030104906"</f>
        <v>248030104906</v>
      </c>
      <c r="O3560" t="str">
        <f>"460102200211041567"</f>
        <v>460102200211041567</v>
      </c>
    </row>
    <row r="3561" customFormat="1" spans="1:15">
      <c r="A3561">
        <v>4686</v>
      </c>
      <c r="B3561" t="s">
        <v>4087</v>
      </c>
      <c r="C3561" t="str">
        <f>"460004198707065025"</f>
        <v>460004198707065025</v>
      </c>
      <c r="L3561">
        <v>4686</v>
      </c>
      <c r="M3561" t="s">
        <v>4087</v>
      </c>
      <c r="O3561" t="str">
        <f>"460004198707065025"</f>
        <v>460004198707065025</v>
      </c>
    </row>
    <row r="3562" customFormat="1" spans="1:15">
      <c r="A3562">
        <v>4687</v>
      </c>
      <c r="B3562" t="s">
        <v>4088</v>
      </c>
      <c r="C3562" t="str">
        <f>"469027200205047188"</f>
        <v>469027200205047188</v>
      </c>
      <c r="D3562" t="str">
        <f>"248030100922"</f>
        <v>248030100922</v>
      </c>
      <c r="L3562">
        <v>4687</v>
      </c>
      <c r="M3562" t="s">
        <v>4088</v>
      </c>
      <c r="N3562" t="str">
        <f>"248030100922"</f>
        <v>248030100922</v>
      </c>
      <c r="O3562" t="str">
        <f>"469027200205047188"</f>
        <v>469027200205047188</v>
      </c>
    </row>
    <row r="3563" customFormat="1" spans="1:15">
      <c r="A3563">
        <v>4688</v>
      </c>
      <c r="B3563" t="s">
        <v>4089</v>
      </c>
      <c r="C3563" t="str">
        <f>"460004199211055223"</f>
        <v>460004199211055223</v>
      </c>
      <c r="L3563">
        <v>4688</v>
      </c>
      <c r="M3563" t="s">
        <v>4089</v>
      </c>
      <c r="O3563" t="str">
        <f>"460004199211055223"</f>
        <v>460004199211055223</v>
      </c>
    </row>
    <row r="3564" customFormat="1" spans="1:15">
      <c r="A3564">
        <v>4689</v>
      </c>
      <c r="B3564" t="s">
        <v>4090</v>
      </c>
      <c r="C3564" t="str">
        <f>"460030200110073324"</f>
        <v>460030200110073324</v>
      </c>
      <c r="D3564" t="str">
        <f>"248030103430"</f>
        <v>248030103430</v>
      </c>
      <c r="L3564">
        <v>4689</v>
      </c>
      <c r="M3564" t="s">
        <v>4090</v>
      </c>
      <c r="N3564" t="str">
        <f>"248030103430"</f>
        <v>248030103430</v>
      </c>
      <c r="O3564" t="str">
        <f>"460030200110073324"</f>
        <v>460030200110073324</v>
      </c>
    </row>
    <row r="3565" customFormat="1" spans="1:15">
      <c r="A3565">
        <v>4690</v>
      </c>
      <c r="B3565" t="s">
        <v>4091</v>
      </c>
      <c r="C3565" t="str">
        <f>"522121199010174226"</f>
        <v>522121199010174226</v>
      </c>
      <c r="D3565" t="str">
        <f>"248030100514"</f>
        <v>248030100514</v>
      </c>
      <c r="L3565">
        <v>4690</v>
      </c>
      <c r="M3565" t="s">
        <v>4091</v>
      </c>
      <c r="N3565" t="str">
        <f>"248030100514"</f>
        <v>248030100514</v>
      </c>
      <c r="O3565" t="str">
        <f>"522121199010174226"</f>
        <v>522121199010174226</v>
      </c>
    </row>
    <row r="3566" customFormat="1" spans="1:15">
      <c r="A3566">
        <v>4691</v>
      </c>
      <c r="B3566" t="s">
        <v>4092</v>
      </c>
      <c r="C3566" t="str">
        <f>"522101199602062441"</f>
        <v>522101199602062441</v>
      </c>
      <c r="L3566">
        <v>4691</v>
      </c>
      <c r="M3566" t="s">
        <v>4092</v>
      </c>
      <c r="O3566" t="str">
        <f>"522101199602062441"</f>
        <v>522101199602062441</v>
      </c>
    </row>
    <row r="3567" customFormat="1" spans="1:15">
      <c r="A3567">
        <v>4692</v>
      </c>
      <c r="B3567" t="s">
        <v>4093</v>
      </c>
      <c r="C3567" t="str">
        <f>"220203200006195425"</f>
        <v>220203200006195425</v>
      </c>
      <c r="D3567" t="str">
        <f>"248030202230"</f>
        <v>248030202230</v>
      </c>
      <c r="L3567">
        <v>4692</v>
      </c>
      <c r="M3567" t="s">
        <v>4093</v>
      </c>
      <c r="N3567" t="str">
        <f>"248030202230"</f>
        <v>248030202230</v>
      </c>
      <c r="O3567" t="str">
        <f>"220203200006195425"</f>
        <v>220203200006195425</v>
      </c>
    </row>
    <row r="3568" customFormat="1" spans="1:15">
      <c r="A3568">
        <v>4693</v>
      </c>
      <c r="B3568" t="s">
        <v>4094</v>
      </c>
      <c r="C3568" t="str">
        <f>"14103119990930002X"</f>
        <v>14103119990930002X</v>
      </c>
      <c r="D3568" t="str">
        <f>"248030501530"</f>
        <v>248030501530</v>
      </c>
      <c r="L3568">
        <v>4693</v>
      </c>
      <c r="M3568" t="s">
        <v>4094</v>
      </c>
      <c r="N3568" t="str">
        <f>"248030501530"</f>
        <v>248030501530</v>
      </c>
      <c r="O3568" t="str">
        <f>"14103119990930002X"</f>
        <v>14103119990930002X</v>
      </c>
    </row>
    <row r="3569" customFormat="1" spans="1:15">
      <c r="A3569">
        <v>4694</v>
      </c>
      <c r="B3569" t="s">
        <v>4095</v>
      </c>
      <c r="C3569" t="str">
        <f>"460033199503174488"</f>
        <v>460033199503174488</v>
      </c>
      <c r="L3569">
        <v>4694</v>
      </c>
      <c r="M3569" t="s">
        <v>4095</v>
      </c>
      <c r="O3569" t="str">
        <f>"460033199503174488"</f>
        <v>460033199503174488</v>
      </c>
    </row>
    <row r="3570" customFormat="1" spans="1:15">
      <c r="A3570">
        <v>4695</v>
      </c>
      <c r="B3570" t="s">
        <v>4096</v>
      </c>
      <c r="C3570" t="str">
        <f>"460025200212050026"</f>
        <v>460025200212050026</v>
      </c>
      <c r="D3570" t="str">
        <f>"248030401011"</f>
        <v>248030401011</v>
      </c>
      <c r="L3570">
        <v>4695</v>
      </c>
      <c r="M3570" t="s">
        <v>4096</v>
      </c>
      <c r="N3570" t="str">
        <f>"248030401011"</f>
        <v>248030401011</v>
      </c>
      <c r="O3570" t="str">
        <f>"460025200212050026"</f>
        <v>460025200212050026</v>
      </c>
    </row>
    <row r="3571" customFormat="1" spans="1:15">
      <c r="A3571">
        <v>4696</v>
      </c>
      <c r="B3571" t="s">
        <v>4097</v>
      </c>
      <c r="C3571" t="str">
        <f>"530322199801081744"</f>
        <v>530322199801081744</v>
      </c>
      <c r="D3571" t="str">
        <f>"248030401817"</f>
        <v>248030401817</v>
      </c>
      <c r="L3571">
        <v>4696</v>
      </c>
      <c r="M3571" t="s">
        <v>4097</v>
      </c>
      <c r="N3571" t="str">
        <f>"248030401817"</f>
        <v>248030401817</v>
      </c>
      <c r="O3571" t="str">
        <f>"530322199801081744"</f>
        <v>530322199801081744</v>
      </c>
    </row>
    <row r="3572" customFormat="1" spans="1:15">
      <c r="A3572">
        <v>4698</v>
      </c>
      <c r="B3572" t="s">
        <v>4098</v>
      </c>
      <c r="C3572" t="str">
        <f>"460027199506060403"</f>
        <v>460027199506060403</v>
      </c>
      <c r="D3572" t="str">
        <f>"248030402115"</f>
        <v>248030402115</v>
      </c>
      <c r="L3572">
        <v>4698</v>
      </c>
      <c r="M3572" t="s">
        <v>4098</v>
      </c>
      <c r="N3572" t="str">
        <f>"248030402115"</f>
        <v>248030402115</v>
      </c>
      <c r="O3572" t="str">
        <f>"460027199506060403"</f>
        <v>460027199506060403</v>
      </c>
    </row>
    <row r="3573" customFormat="1" spans="1:15">
      <c r="A3573">
        <v>4699</v>
      </c>
      <c r="B3573" t="s">
        <v>4099</v>
      </c>
      <c r="C3573" t="str">
        <f>"46003120010102202X"</f>
        <v>46003120010102202X</v>
      </c>
      <c r="D3573" t="str">
        <f>"248030100924"</f>
        <v>248030100924</v>
      </c>
      <c r="L3573">
        <v>4699</v>
      </c>
      <c r="M3573" t="s">
        <v>4099</v>
      </c>
      <c r="N3573" t="str">
        <f>"248030100924"</f>
        <v>248030100924</v>
      </c>
      <c r="O3573" t="str">
        <f>"46003120010102202X"</f>
        <v>46003120010102202X</v>
      </c>
    </row>
    <row r="3574" customFormat="1" spans="1:15">
      <c r="A3574">
        <v>4701</v>
      </c>
      <c r="B3574" t="s">
        <v>4100</v>
      </c>
      <c r="C3574" t="str">
        <f>"460006200008083729"</f>
        <v>460006200008083729</v>
      </c>
      <c r="D3574" t="str">
        <f>"248030503819"</f>
        <v>248030503819</v>
      </c>
      <c r="L3574">
        <v>4701</v>
      </c>
      <c r="M3574" t="s">
        <v>4100</v>
      </c>
      <c r="N3574" t="str">
        <f>"248030503819"</f>
        <v>248030503819</v>
      </c>
      <c r="O3574" t="str">
        <f>"460006200008083729"</f>
        <v>460006200008083729</v>
      </c>
    </row>
    <row r="3575" customFormat="1" spans="1:15">
      <c r="A3575">
        <v>4702</v>
      </c>
      <c r="B3575" t="s">
        <v>4101</v>
      </c>
      <c r="C3575" t="str">
        <f>"460006200104217520"</f>
        <v>460006200104217520</v>
      </c>
      <c r="D3575" t="str">
        <f>"248030100829"</f>
        <v>248030100829</v>
      </c>
      <c r="L3575">
        <v>4702</v>
      </c>
      <c r="M3575" t="s">
        <v>4101</v>
      </c>
      <c r="N3575" t="str">
        <f>"248030100829"</f>
        <v>248030100829</v>
      </c>
      <c r="O3575" t="str">
        <f>"460006200104217520"</f>
        <v>460006200104217520</v>
      </c>
    </row>
    <row r="3576" customFormat="1" spans="1:15">
      <c r="A3576">
        <v>4703</v>
      </c>
      <c r="B3576" t="s">
        <v>4102</v>
      </c>
      <c r="C3576" t="str">
        <f>"460003199809130658"</f>
        <v>460003199809130658</v>
      </c>
      <c r="D3576" t="str">
        <f>"248030104628"</f>
        <v>248030104628</v>
      </c>
      <c r="L3576">
        <v>4703</v>
      </c>
      <c r="M3576" t="s">
        <v>4102</v>
      </c>
      <c r="N3576" t="str">
        <f>"248030104628"</f>
        <v>248030104628</v>
      </c>
      <c r="O3576" t="str">
        <f>"460003199809130658"</f>
        <v>460003199809130658</v>
      </c>
    </row>
    <row r="3577" customFormat="1" spans="1:15">
      <c r="A3577">
        <v>4704</v>
      </c>
      <c r="B3577" t="s">
        <v>4103</v>
      </c>
      <c r="C3577" t="str">
        <f>"232302199903280723"</f>
        <v>232302199903280723</v>
      </c>
      <c r="D3577" t="str">
        <f>"248030402607"</f>
        <v>248030402607</v>
      </c>
      <c r="L3577">
        <v>4704</v>
      </c>
      <c r="M3577" t="s">
        <v>4103</v>
      </c>
      <c r="N3577" t="str">
        <f>"248030402607"</f>
        <v>248030402607</v>
      </c>
      <c r="O3577" t="str">
        <f>"232302199903280723"</f>
        <v>232302199903280723</v>
      </c>
    </row>
    <row r="3578" customFormat="1" spans="1:15">
      <c r="A3578">
        <v>4705</v>
      </c>
      <c r="B3578" t="s">
        <v>4104</v>
      </c>
      <c r="C3578" t="str">
        <f>"469003199303016119"</f>
        <v>469003199303016119</v>
      </c>
      <c r="D3578" t="str">
        <f>"248030301607"</f>
        <v>248030301607</v>
      </c>
      <c r="L3578">
        <v>4705</v>
      </c>
      <c r="M3578" t="s">
        <v>4104</v>
      </c>
      <c r="N3578" t="str">
        <f>"248030301607"</f>
        <v>248030301607</v>
      </c>
      <c r="O3578" t="str">
        <f>"469003199303016119"</f>
        <v>469003199303016119</v>
      </c>
    </row>
    <row r="3579" customFormat="1" spans="1:15">
      <c r="A3579">
        <v>4706</v>
      </c>
      <c r="B3579" t="s">
        <v>4105</v>
      </c>
      <c r="C3579" t="str">
        <f>"460026200101040913"</f>
        <v>460026200101040913</v>
      </c>
      <c r="D3579" t="str">
        <f>"248030503227"</f>
        <v>248030503227</v>
      </c>
      <c r="L3579">
        <v>4706</v>
      </c>
      <c r="M3579" t="s">
        <v>4105</v>
      </c>
      <c r="N3579" t="str">
        <f>"248030503227"</f>
        <v>248030503227</v>
      </c>
      <c r="O3579" t="str">
        <f>"460026200101040913"</f>
        <v>460026200101040913</v>
      </c>
    </row>
    <row r="3580" customFormat="1" spans="1:15">
      <c r="A3580">
        <v>4707</v>
      </c>
      <c r="B3580" t="s">
        <v>322</v>
      </c>
      <c r="C3580" t="str">
        <f>"460004199212153829"</f>
        <v>460004199212153829</v>
      </c>
      <c r="D3580" t="str">
        <f>"248030503511"</f>
        <v>248030503511</v>
      </c>
      <c r="L3580">
        <v>4707</v>
      </c>
      <c r="M3580" t="s">
        <v>322</v>
      </c>
      <c r="N3580" t="str">
        <f>"248030503511"</f>
        <v>248030503511</v>
      </c>
      <c r="O3580" t="str">
        <f>"460004199212153829"</f>
        <v>460004199212153829</v>
      </c>
    </row>
    <row r="3581" customFormat="1" spans="1:15">
      <c r="A3581">
        <v>4708</v>
      </c>
      <c r="B3581" t="s">
        <v>4106</v>
      </c>
      <c r="C3581" t="str">
        <f>"460027199410274722"</f>
        <v>460027199410274722</v>
      </c>
      <c r="D3581" t="str">
        <f>"248030401629"</f>
        <v>248030401629</v>
      </c>
      <c r="L3581">
        <v>4708</v>
      </c>
      <c r="M3581" t="s">
        <v>4106</v>
      </c>
      <c r="N3581" t="str">
        <f>"248030401629"</f>
        <v>248030401629</v>
      </c>
      <c r="O3581" t="str">
        <f>"460027199410274722"</f>
        <v>460027199410274722</v>
      </c>
    </row>
    <row r="3582" customFormat="1" spans="1:15">
      <c r="A3582">
        <v>4709</v>
      </c>
      <c r="B3582" t="s">
        <v>4107</v>
      </c>
      <c r="C3582" t="str">
        <f>"460034199402091815"</f>
        <v>460034199402091815</v>
      </c>
      <c r="L3582">
        <v>4709</v>
      </c>
      <c r="M3582" t="s">
        <v>4107</v>
      </c>
      <c r="O3582" t="str">
        <f>"460034199402091815"</f>
        <v>460034199402091815</v>
      </c>
    </row>
    <row r="3583" customFormat="1" spans="1:15">
      <c r="A3583">
        <v>4710</v>
      </c>
      <c r="B3583" t="s">
        <v>4108</v>
      </c>
      <c r="C3583" t="str">
        <f>"460028200110017240"</f>
        <v>460028200110017240</v>
      </c>
      <c r="D3583" t="str">
        <f>"248030105013"</f>
        <v>248030105013</v>
      </c>
      <c r="L3583">
        <v>4710</v>
      </c>
      <c r="M3583" t="s">
        <v>4108</v>
      </c>
      <c r="N3583" t="str">
        <f>"248030105013"</f>
        <v>248030105013</v>
      </c>
      <c r="O3583" t="str">
        <f>"460028200110017240"</f>
        <v>460028200110017240</v>
      </c>
    </row>
    <row r="3584" customFormat="1" spans="1:15">
      <c r="A3584">
        <v>4711</v>
      </c>
      <c r="B3584" t="s">
        <v>4109</v>
      </c>
      <c r="C3584" t="str">
        <f>"460104200003310921"</f>
        <v>460104200003310921</v>
      </c>
      <c r="D3584" t="str">
        <f>"248030100211"</f>
        <v>248030100211</v>
      </c>
      <c r="L3584">
        <v>4711</v>
      </c>
      <c r="M3584" t="s">
        <v>4109</v>
      </c>
      <c r="N3584" t="str">
        <f>"248030100211"</f>
        <v>248030100211</v>
      </c>
      <c r="O3584" t="str">
        <f>"460104200003310921"</f>
        <v>460104200003310921</v>
      </c>
    </row>
    <row r="3585" customFormat="1" spans="1:15">
      <c r="A3585">
        <v>4712</v>
      </c>
      <c r="B3585" t="s">
        <v>4110</v>
      </c>
      <c r="C3585" t="str">
        <f>"230281199607310420"</f>
        <v>230281199607310420</v>
      </c>
      <c r="D3585" t="str">
        <f>"248030202927"</f>
        <v>248030202927</v>
      </c>
      <c r="L3585">
        <v>4712</v>
      </c>
      <c r="M3585" t="s">
        <v>4110</v>
      </c>
      <c r="N3585" t="str">
        <f>"248030202927"</f>
        <v>248030202927</v>
      </c>
      <c r="O3585" t="str">
        <f>"230281199607310420"</f>
        <v>230281199607310420</v>
      </c>
    </row>
    <row r="3586" customFormat="1" spans="1:15">
      <c r="A3586">
        <v>4713</v>
      </c>
      <c r="B3586" t="s">
        <v>4111</v>
      </c>
      <c r="C3586" t="str">
        <f>"460033199612014862"</f>
        <v>460033199612014862</v>
      </c>
      <c r="D3586" t="str">
        <f>"248030200516"</f>
        <v>248030200516</v>
      </c>
      <c r="L3586">
        <v>4713</v>
      </c>
      <c r="M3586" t="s">
        <v>4111</v>
      </c>
      <c r="N3586" t="str">
        <f>"248030200516"</f>
        <v>248030200516</v>
      </c>
      <c r="O3586" t="str">
        <f>"460033199612014862"</f>
        <v>460033199612014862</v>
      </c>
    </row>
    <row r="3587" customFormat="1" spans="1:15">
      <c r="A3587">
        <v>4714</v>
      </c>
      <c r="B3587" t="s">
        <v>4112</v>
      </c>
      <c r="C3587" t="str">
        <f>"460005199511231731"</f>
        <v>460005199511231731</v>
      </c>
      <c r="D3587" t="str">
        <f>"248030201328"</f>
        <v>248030201328</v>
      </c>
      <c r="L3587">
        <v>4714</v>
      </c>
      <c r="M3587" t="s">
        <v>4112</v>
      </c>
      <c r="N3587" t="str">
        <f>"248030201328"</f>
        <v>248030201328</v>
      </c>
      <c r="O3587" t="str">
        <f>"460005199511231731"</f>
        <v>460005199511231731</v>
      </c>
    </row>
    <row r="3588" customFormat="1" spans="1:15">
      <c r="A3588">
        <v>4715</v>
      </c>
      <c r="B3588" t="s">
        <v>4113</v>
      </c>
      <c r="C3588" t="str">
        <f>"460003199702084620"</f>
        <v>460003199702084620</v>
      </c>
      <c r="D3588" t="str">
        <f>"248030200306"</f>
        <v>248030200306</v>
      </c>
      <c r="L3588">
        <v>4715</v>
      </c>
      <c r="M3588" t="s">
        <v>4113</v>
      </c>
      <c r="N3588" t="str">
        <f>"248030200306"</f>
        <v>248030200306</v>
      </c>
      <c r="O3588" t="str">
        <f>"460003199702084620"</f>
        <v>460003199702084620</v>
      </c>
    </row>
    <row r="3589" customFormat="1" spans="1:15">
      <c r="A3589">
        <v>4716</v>
      </c>
      <c r="B3589" t="s">
        <v>4114</v>
      </c>
      <c r="C3589" t="str">
        <f>"460025200007291525"</f>
        <v>460025200007291525</v>
      </c>
      <c r="D3589" t="str">
        <f>"248030104429"</f>
        <v>248030104429</v>
      </c>
      <c r="L3589">
        <v>4716</v>
      </c>
      <c r="M3589" t="s">
        <v>4114</v>
      </c>
      <c r="N3589" t="str">
        <f>"248030104429"</f>
        <v>248030104429</v>
      </c>
      <c r="O3589" t="str">
        <f>"460025200007291525"</f>
        <v>460025200007291525</v>
      </c>
    </row>
    <row r="3590" customFormat="1" spans="1:15">
      <c r="A3590">
        <v>4717</v>
      </c>
      <c r="B3590" t="s">
        <v>4021</v>
      </c>
      <c r="C3590" t="str">
        <f>"510902199909254532"</f>
        <v>510902199909254532</v>
      </c>
      <c r="D3590" t="str">
        <f>"248030202311"</f>
        <v>248030202311</v>
      </c>
      <c r="L3590">
        <v>4717</v>
      </c>
      <c r="M3590" t="s">
        <v>4021</v>
      </c>
      <c r="N3590" t="str">
        <f>"248030202311"</f>
        <v>248030202311</v>
      </c>
      <c r="O3590" t="str">
        <f>"510902199909254532"</f>
        <v>510902199909254532</v>
      </c>
    </row>
    <row r="3591" customFormat="1" spans="1:15">
      <c r="A3591">
        <v>4718</v>
      </c>
      <c r="B3591" t="s">
        <v>4115</v>
      </c>
      <c r="C3591" t="str">
        <f>"460006199711131627"</f>
        <v>460006199711131627</v>
      </c>
      <c r="D3591" t="str">
        <f>"248030301104"</f>
        <v>248030301104</v>
      </c>
      <c r="L3591">
        <v>4718</v>
      </c>
      <c r="M3591" t="s">
        <v>4115</v>
      </c>
      <c r="N3591" t="str">
        <f>"248030301104"</f>
        <v>248030301104</v>
      </c>
      <c r="O3591" t="str">
        <f>"460006199711131627"</f>
        <v>460006199711131627</v>
      </c>
    </row>
    <row r="3592" customFormat="1" spans="1:15">
      <c r="A3592">
        <v>4719</v>
      </c>
      <c r="B3592" t="s">
        <v>4116</v>
      </c>
      <c r="C3592" t="str">
        <f>"46000319970217022X"</f>
        <v>46000319970217022X</v>
      </c>
      <c r="D3592" t="str">
        <f>"248030203124"</f>
        <v>248030203124</v>
      </c>
      <c r="L3592">
        <v>4719</v>
      </c>
      <c r="M3592" t="s">
        <v>4116</v>
      </c>
      <c r="N3592" t="str">
        <f>"248030203124"</f>
        <v>248030203124</v>
      </c>
      <c r="O3592" t="str">
        <f>"46000319970217022X"</f>
        <v>46000319970217022X</v>
      </c>
    </row>
    <row r="3593" customFormat="1" spans="1:15">
      <c r="A3593">
        <v>4720</v>
      </c>
      <c r="B3593" t="s">
        <v>4117</v>
      </c>
      <c r="C3593" t="str">
        <f>"320830199410264242"</f>
        <v>320830199410264242</v>
      </c>
      <c r="D3593" t="str">
        <f>"248030504124"</f>
        <v>248030504124</v>
      </c>
      <c r="L3593">
        <v>4720</v>
      </c>
      <c r="M3593" t="s">
        <v>4117</v>
      </c>
      <c r="N3593" t="str">
        <f>"248030504124"</f>
        <v>248030504124</v>
      </c>
      <c r="O3593" t="str">
        <f>"320830199410264242"</f>
        <v>320830199410264242</v>
      </c>
    </row>
    <row r="3594" customFormat="1" spans="1:15">
      <c r="A3594">
        <v>4721</v>
      </c>
      <c r="B3594" t="s">
        <v>4118</v>
      </c>
      <c r="C3594" t="str">
        <f>"642221198510064101"</f>
        <v>642221198510064101</v>
      </c>
      <c r="L3594">
        <v>4721</v>
      </c>
      <c r="M3594" t="s">
        <v>4118</v>
      </c>
      <c r="O3594" t="str">
        <f>"642221198510064101"</f>
        <v>642221198510064101</v>
      </c>
    </row>
    <row r="3595" customFormat="1" spans="1:15">
      <c r="A3595">
        <v>4722</v>
      </c>
      <c r="B3595" t="s">
        <v>4119</v>
      </c>
      <c r="C3595" t="str">
        <f>"460033199708290386"</f>
        <v>460033199708290386</v>
      </c>
      <c r="D3595" t="str">
        <f>"248030100221"</f>
        <v>248030100221</v>
      </c>
      <c r="L3595">
        <v>4722</v>
      </c>
      <c r="M3595" t="s">
        <v>4119</v>
      </c>
      <c r="N3595" t="str">
        <f>"248030100221"</f>
        <v>248030100221</v>
      </c>
      <c r="O3595" t="str">
        <f>"460033199708290386"</f>
        <v>460033199708290386</v>
      </c>
    </row>
    <row r="3596" customFormat="1" spans="1:15">
      <c r="A3596">
        <v>4723</v>
      </c>
      <c r="B3596" t="s">
        <v>4120</v>
      </c>
      <c r="C3596" t="str">
        <f>"469023199807039029"</f>
        <v>469023199807039029</v>
      </c>
      <c r="D3596" t="str">
        <f>"248030302401"</f>
        <v>248030302401</v>
      </c>
      <c r="L3596">
        <v>4723</v>
      </c>
      <c r="M3596" t="s">
        <v>4120</v>
      </c>
      <c r="N3596" t="str">
        <f>"248030302401"</f>
        <v>248030302401</v>
      </c>
      <c r="O3596" t="str">
        <f>"469023199807039029"</f>
        <v>469023199807039029</v>
      </c>
    </row>
    <row r="3597" customFormat="1" spans="1:15">
      <c r="A3597">
        <v>4724</v>
      </c>
      <c r="B3597" t="s">
        <v>4121</v>
      </c>
      <c r="C3597" t="str">
        <f>"46003219970613616X"</f>
        <v>46003219970613616X</v>
      </c>
      <c r="D3597" t="str">
        <f>"248030302003"</f>
        <v>248030302003</v>
      </c>
      <c r="L3597">
        <v>4724</v>
      </c>
      <c r="M3597" t="s">
        <v>4121</v>
      </c>
      <c r="N3597" t="str">
        <f>"248030302003"</f>
        <v>248030302003</v>
      </c>
      <c r="O3597" t="str">
        <f>"46003219970613616X"</f>
        <v>46003219970613616X</v>
      </c>
    </row>
    <row r="3598" customFormat="1" spans="1:15">
      <c r="A3598">
        <v>4725</v>
      </c>
      <c r="B3598" t="s">
        <v>4122</v>
      </c>
      <c r="C3598" t="str">
        <f>"411323200002126323"</f>
        <v>411323200002126323</v>
      </c>
      <c r="D3598" t="str">
        <f>"248030503311"</f>
        <v>248030503311</v>
      </c>
      <c r="L3598">
        <v>4725</v>
      </c>
      <c r="M3598" t="s">
        <v>4122</v>
      </c>
      <c r="N3598" t="str">
        <f>"248030503311"</f>
        <v>248030503311</v>
      </c>
      <c r="O3598" t="str">
        <f>"411323200002126323"</f>
        <v>411323200002126323</v>
      </c>
    </row>
    <row r="3599" customFormat="1" spans="1:15">
      <c r="A3599">
        <v>4726</v>
      </c>
      <c r="B3599" t="s">
        <v>4123</v>
      </c>
      <c r="C3599" t="str">
        <f>"220221199206251943"</f>
        <v>220221199206251943</v>
      </c>
      <c r="L3599">
        <v>4726</v>
      </c>
      <c r="M3599" t="s">
        <v>4123</v>
      </c>
      <c r="O3599" t="str">
        <f>"220221199206251943"</f>
        <v>220221199206251943</v>
      </c>
    </row>
    <row r="3600" customFormat="1" spans="1:15">
      <c r="A3600">
        <v>4727</v>
      </c>
      <c r="B3600" t="s">
        <v>4124</v>
      </c>
      <c r="C3600" t="str">
        <f>"460003199806074101"</f>
        <v>460003199806074101</v>
      </c>
      <c r="D3600" t="str">
        <f>"248030500217"</f>
        <v>248030500217</v>
      </c>
      <c r="L3600">
        <v>4727</v>
      </c>
      <c r="M3600" t="s">
        <v>4124</v>
      </c>
      <c r="N3600" t="str">
        <f>"248030500217"</f>
        <v>248030500217</v>
      </c>
      <c r="O3600" t="str">
        <f>"460003199806074101"</f>
        <v>460003199806074101</v>
      </c>
    </row>
    <row r="3601" customFormat="1" spans="1:15">
      <c r="A3601">
        <v>4728</v>
      </c>
      <c r="B3601" t="s">
        <v>4125</v>
      </c>
      <c r="C3601" t="str">
        <f>"510311200108273150"</f>
        <v>510311200108273150</v>
      </c>
      <c r="D3601" t="str">
        <f>"248030300907"</f>
        <v>248030300907</v>
      </c>
      <c r="L3601">
        <v>4728</v>
      </c>
      <c r="M3601" t="s">
        <v>4125</v>
      </c>
      <c r="N3601" t="str">
        <f>"248030300907"</f>
        <v>248030300907</v>
      </c>
      <c r="O3601" t="str">
        <f>"510311200108273150"</f>
        <v>510311200108273150</v>
      </c>
    </row>
    <row r="3602" customFormat="1" spans="1:15">
      <c r="A3602">
        <v>4729</v>
      </c>
      <c r="B3602" t="s">
        <v>4126</v>
      </c>
      <c r="C3602" t="str">
        <f>"231222199411194043"</f>
        <v>231222199411194043</v>
      </c>
      <c r="L3602">
        <v>4729</v>
      </c>
      <c r="M3602" t="s">
        <v>4126</v>
      </c>
      <c r="O3602" t="str">
        <f>"231222199411194043"</f>
        <v>231222199411194043</v>
      </c>
    </row>
    <row r="3603" customFormat="1" spans="1:15">
      <c r="A3603">
        <v>4730</v>
      </c>
      <c r="B3603" t="s">
        <v>4127</v>
      </c>
      <c r="C3603" t="str">
        <f>"460027198808081715"</f>
        <v>460027198808081715</v>
      </c>
      <c r="L3603">
        <v>4730</v>
      </c>
      <c r="M3603" t="s">
        <v>4127</v>
      </c>
      <c r="O3603" t="str">
        <f>"460027198808081715"</f>
        <v>460027198808081715</v>
      </c>
    </row>
    <row r="3604" customFormat="1" spans="1:15">
      <c r="A3604">
        <v>4731</v>
      </c>
      <c r="B3604" t="s">
        <v>4128</v>
      </c>
      <c r="C3604" t="str">
        <f>"460003200005083425"</f>
        <v>460003200005083425</v>
      </c>
      <c r="D3604" t="str">
        <f>"248030503003"</f>
        <v>248030503003</v>
      </c>
      <c r="L3604">
        <v>4731</v>
      </c>
      <c r="M3604" t="s">
        <v>4128</v>
      </c>
      <c r="N3604" t="str">
        <f>"248030503003"</f>
        <v>248030503003</v>
      </c>
      <c r="O3604" t="str">
        <f>"460003200005083425"</f>
        <v>460003200005083425</v>
      </c>
    </row>
    <row r="3605" customFormat="1" spans="1:15">
      <c r="A3605">
        <v>4732</v>
      </c>
      <c r="B3605" t="s">
        <v>4129</v>
      </c>
      <c r="C3605" t="str">
        <f>"500230200104032976"</f>
        <v>500230200104032976</v>
      </c>
      <c r="D3605" t="str">
        <f>"248030105003"</f>
        <v>248030105003</v>
      </c>
      <c r="L3605">
        <v>4732</v>
      </c>
      <c r="M3605" t="s">
        <v>4129</v>
      </c>
      <c r="N3605" t="str">
        <f>"248030105003"</f>
        <v>248030105003</v>
      </c>
      <c r="O3605" t="str">
        <f>"500230200104032976"</f>
        <v>500230200104032976</v>
      </c>
    </row>
    <row r="3606" customFormat="1" spans="1:15">
      <c r="A3606">
        <v>4733</v>
      </c>
      <c r="B3606" t="s">
        <v>4130</v>
      </c>
      <c r="C3606" t="str">
        <f>"460035200004103413"</f>
        <v>460035200004103413</v>
      </c>
      <c r="D3606" t="str">
        <f>"248030301311"</f>
        <v>248030301311</v>
      </c>
      <c r="L3606">
        <v>4733</v>
      </c>
      <c r="M3606" t="s">
        <v>4130</v>
      </c>
      <c r="N3606" t="str">
        <f>"248030301311"</f>
        <v>248030301311</v>
      </c>
      <c r="O3606" t="str">
        <f>"460035200004103413"</f>
        <v>460035200004103413</v>
      </c>
    </row>
    <row r="3607" customFormat="1" spans="1:15">
      <c r="A3607">
        <v>4734</v>
      </c>
      <c r="B3607" t="s">
        <v>4131</v>
      </c>
      <c r="C3607" t="str">
        <f>"469003199904030629"</f>
        <v>469003199904030629</v>
      </c>
      <c r="D3607" t="str">
        <f>"248030504128"</f>
        <v>248030504128</v>
      </c>
      <c r="L3607">
        <v>4734</v>
      </c>
      <c r="M3607" t="s">
        <v>4131</v>
      </c>
      <c r="N3607" t="str">
        <f>"248030504128"</f>
        <v>248030504128</v>
      </c>
      <c r="O3607" t="str">
        <f>"469003199904030629"</f>
        <v>469003199904030629</v>
      </c>
    </row>
    <row r="3608" customFormat="1" spans="1:15">
      <c r="A3608">
        <v>4738</v>
      </c>
      <c r="B3608" t="s">
        <v>4132</v>
      </c>
      <c r="C3608" t="str">
        <f>"460027200108264414"</f>
        <v>460027200108264414</v>
      </c>
      <c r="D3608" t="str">
        <f>"248030302309"</f>
        <v>248030302309</v>
      </c>
      <c r="L3608">
        <v>4738</v>
      </c>
      <c r="M3608" t="s">
        <v>4132</v>
      </c>
      <c r="N3608" t="str">
        <f>"248030302309"</f>
        <v>248030302309</v>
      </c>
      <c r="O3608" t="str">
        <f>"460027200108264414"</f>
        <v>460027200108264414</v>
      </c>
    </row>
    <row r="3609" customFormat="1" spans="1:15">
      <c r="A3609">
        <v>4739</v>
      </c>
      <c r="B3609" t="s">
        <v>4133</v>
      </c>
      <c r="C3609" t="str">
        <f>"460022199303200021"</f>
        <v>460022199303200021</v>
      </c>
      <c r="D3609" t="str">
        <f>"248030104709"</f>
        <v>248030104709</v>
      </c>
      <c r="L3609">
        <v>4739</v>
      </c>
      <c r="M3609" t="s">
        <v>4133</v>
      </c>
      <c r="N3609" t="str">
        <f>"248030104709"</f>
        <v>248030104709</v>
      </c>
      <c r="O3609" t="str">
        <f>"460022199303200021"</f>
        <v>460022199303200021</v>
      </c>
    </row>
    <row r="3610" customFormat="1" spans="1:15">
      <c r="A3610">
        <v>4741</v>
      </c>
      <c r="B3610" t="s">
        <v>4134</v>
      </c>
      <c r="C3610" t="str">
        <f>"460103200108281526"</f>
        <v>460103200108281526</v>
      </c>
      <c r="D3610" t="str">
        <f>"248030403106"</f>
        <v>248030403106</v>
      </c>
      <c r="L3610">
        <v>4741</v>
      </c>
      <c r="M3610" t="s">
        <v>4134</v>
      </c>
      <c r="N3610" t="str">
        <f>"248030403106"</f>
        <v>248030403106</v>
      </c>
      <c r="O3610" t="str">
        <f>"460103200108281526"</f>
        <v>460103200108281526</v>
      </c>
    </row>
    <row r="3611" customFormat="1" spans="1:15">
      <c r="A3611">
        <v>4742</v>
      </c>
      <c r="B3611" t="s">
        <v>4135</v>
      </c>
      <c r="C3611" t="str">
        <f>"460102200001213025"</f>
        <v>460102200001213025</v>
      </c>
      <c r="L3611">
        <v>4742</v>
      </c>
      <c r="M3611" t="s">
        <v>4135</v>
      </c>
      <c r="O3611" t="str">
        <f>"460102200001213025"</f>
        <v>460102200001213025</v>
      </c>
    </row>
    <row r="3612" customFormat="1" spans="1:15">
      <c r="A3612">
        <v>4743</v>
      </c>
      <c r="B3612" t="s">
        <v>4136</v>
      </c>
      <c r="C3612" t="str">
        <f>"469003199810164626"</f>
        <v>469003199810164626</v>
      </c>
      <c r="D3612" t="str">
        <f>"248030200916"</f>
        <v>248030200916</v>
      </c>
      <c r="L3612">
        <v>4743</v>
      </c>
      <c r="M3612" t="s">
        <v>4136</v>
      </c>
      <c r="N3612" t="str">
        <f>"248030200916"</f>
        <v>248030200916</v>
      </c>
      <c r="O3612" t="str">
        <f>"469003199810164626"</f>
        <v>469003199810164626</v>
      </c>
    </row>
    <row r="3613" customFormat="1" spans="1:15">
      <c r="A3613">
        <v>4744</v>
      </c>
      <c r="B3613" t="s">
        <v>4137</v>
      </c>
      <c r="C3613" t="str">
        <f>"460103198912020327"</f>
        <v>460103198912020327</v>
      </c>
      <c r="D3613" t="str">
        <f>"248030501923"</f>
        <v>248030501923</v>
      </c>
      <c r="L3613">
        <v>4744</v>
      </c>
      <c r="M3613" t="s">
        <v>4137</v>
      </c>
      <c r="N3613" t="str">
        <f>"248030501923"</f>
        <v>248030501923</v>
      </c>
      <c r="O3613" t="str">
        <f>"460103198912020327"</f>
        <v>460103198912020327</v>
      </c>
    </row>
    <row r="3614" customFormat="1" spans="1:15">
      <c r="A3614">
        <v>4747</v>
      </c>
      <c r="B3614" t="s">
        <v>4138</v>
      </c>
      <c r="C3614" t="str">
        <f>"410725199804115122"</f>
        <v>410725199804115122</v>
      </c>
      <c r="D3614" t="str">
        <f>"248030202305"</f>
        <v>248030202305</v>
      </c>
      <c r="L3614">
        <v>4747</v>
      </c>
      <c r="M3614" t="s">
        <v>4138</v>
      </c>
      <c r="N3614" t="str">
        <f>"248030202305"</f>
        <v>248030202305</v>
      </c>
      <c r="O3614" t="str">
        <f>"410725199804115122"</f>
        <v>410725199804115122</v>
      </c>
    </row>
    <row r="3615" customFormat="1" spans="1:15">
      <c r="A3615">
        <v>4748</v>
      </c>
      <c r="B3615" t="s">
        <v>4139</v>
      </c>
      <c r="C3615" t="str">
        <f>"230303198606064629"</f>
        <v>230303198606064629</v>
      </c>
      <c r="D3615" t="str">
        <f>"248030202710"</f>
        <v>248030202710</v>
      </c>
      <c r="L3615">
        <v>4748</v>
      </c>
      <c r="M3615" t="s">
        <v>4139</v>
      </c>
      <c r="N3615" t="str">
        <f>"248030202710"</f>
        <v>248030202710</v>
      </c>
      <c r="O3615" t="str">
        <f>"230303198606064629"</f>
        <v>230303198606064629</v>
      </c>
    </row>
    <row r="3616" customFormat="1" spans="1:15">
      <c r="A3616">
        <v>4749</v>
      </c>
      <c r="B3616" t="s">
        <v>4140</v>
      </c>
      <c r="C3616" t="str">
        <f>"230221199611283625"</f>
        <v>230221199611283625</v>
      </c>
      <c r="D3616" t="str">
        <f>"248030302410"</f>
        <v>248030302410</v>
      </c>
      <c r="L3616">
        <v>4749</v>
      </c>
      <c r="M3616" t="s">
        <v>4140</v>
      </c>
      <c r="N3616" t="str">
        <f>"248030302410"</f>
        <v>248030302410</v>
      </c>
      <c r="O3616" t="str">
        <f>"230221199611283625"</f>
        <v>230221199611283625</v>
      </c>
    </row>
    <row r="3617" customFormat="1" spans="1:15">
      <c r="A3617">
        <v>4750</v>
      </c>
      <c r="B3617" t="s">
        <v>3612</v>
      </c>
      <c r="C3617" t="str">
        <f>"460031199511034423"</f>
        <v>460031199511034423</v>
      </c>
      <c r="D3617" t="str">
        <f>"248030101920"</f>
        <v>248030101920</v>
      </c>
      <c r="L3617">
        <v>4750</v>
      </c>
      <c r="M3617" t="s">
        <v>3612</v>
      </c>
      <c r="N3617" t="str">
        <f>"248030101920"</f>
        <v>248030101920</v>
      </c>
      <c r="O3617" t="str">
        <f>"460031199511034423"</f>
        <v>460031199511034423</v>
      </c>
    </row>
    <row r="3618" customFormat="1" spans="1:15">
      <c r="A3618">
        <v>4751</v>
      </c>
      <c r="B3618" t="s">
        <v>205</v>
      </c>
      <c r="C3618" t="str">
        <f>"469023199608248223"</f>
        <v>469023199608248223</v>
      </c>
      <c r="D3618" t="str">
        <f>"248030101325"</f>
        <v>248030101325</v>
      </c>
      <c r="L3618">
        <v>4751</v>
      </c>
      <c r="M3618" t="s">
        <v>205</v>
      </c>
      <c r="N3618" t="str">
        <f>"248030101325"</f>
        <v>248030101325</v>
      </c>
      <c r="O3618" t="str">
        <f>"469023199608248223"</f>
        <v>469023199608248223</v>
      </c>
    </row>
    <row r="3619" customFormat="1" spans="1:15">
      <c r="A3619">
        <v>4752</v>
      </c>
      <c r="B3619" t="s">
        <v>4141</v>
      </c>
      <c r="C3619" t="str">
        <f>"452124199801100662"</f>
        <v>452124199801100662</v>
      </c>
      <c r="D3619" t="str">
        <f>"248030502717"</f>
        <v>248030502717</v>
      </c>
      <c r="L3619">
        <v>4752</v>
      </c>
      <c r="M3619" t="s">
        <v>4141</v>
      </c>
      <c r="N3619" t="str">
        <f>"248030502717"</f>
        <v>248030502717</v>
      </c>
      <c r="O3619" t="str">
        <f>"452124199801100662"</f>
        <v>452124199801100662</v>
      </c>
    </row>
    <row r="3620" customFormat="1" spans="1:15">
      <c r="A3620">
        <v>4753</v>
      </c>
      <c r="B3620" t="s">
        <v>4142</v>
      </c>
      <c r="C3620" t="str">
        <f>"460003199612250023"</f>
        <v>460003199612250023</v>
      </c>
      <c r="D3620" t="str">
        <f>"248030103229"</f>
        <v>248030103229</v>
      </c>
      <c r="L3620">
        <v>4753</v>
      </c>
      <c r="M3620" t="s">
        <v>4142</v>
      </c>
      <c r="N3620" t="str">
        <f>"248030103229"</f>
        <v>248030103229</v>
      </c>
      <c r="O3620" t="str">
        <f>"460003199612250023"</f>
        <v>460003199612250023</v>
      </c>
    </row>
    <row r="3621" customFormat="1" spans="1:15">
      <c r="A3621">
        <v>4754</v>
      </c>
      <c r="B3621" t="s">
        <v>4143</v>
      </c>
      <c r="C3621" t="str">
        <f>"231102200103270029"</f>
        <v>231102200103270029</v>
      </c>
      <c r="L3621">
        <v>4754</v>
      </c>
      <c r="M3621" t="s">
        <v>4143</v>
      </c>
      <c r="O3621" t="str">
        <f>"231102200103270029"</f>
        <v>231102200103270029</v>
      </c>
    </row>
    <row r="3622" customFormat="1" spans="1:15">
      <c r="A3622">
        <v>4755</v>
      </c>
      <c r="B3622" t="s">
        <v>4144</v>
      </c>
      <c r="C3622" t="str">
        <f>"469007200010157269"</f>
        <v>469007200010157269</v>
      </c>
      <c r="D3622" t="str">
        <f>"248030200121"</f>
        <v>248030200121</v>
      </c>
      <c r="L3622">
        <v>4755</v>
      </c>
      <c r="M3622" t="s">
        <v>4144</v>
      </c>
      <c r="N3622" t="str">
        <f>"248030200121"</f>
        <v>248030200121</v>
      </c>
      <c r="O3622" t="str">
        <f>"469007200010157269"</f>
        <v>469007200010157269</v>
      </c>
    </row>
    <row r="3623" customFormat="1" spans="1:15">
      <c r="A3623">
        <v>4756</v>
      </c>
      <c r="B3623" t="s">
        <v>4145</v>
      </c>
      <c r="C3623" t="str">
        <f>"460006198802283445"</f>
        <v>460006198802283445</v>
      </c>
      <c r="D3623" t="str">
        <f>"248030301626"</f>
        <v>248030301626</v>
      </c>
      <c r="L3623">
        <v>4756</v>
      </c>
      <c r="M3623" t="s">
        <v>4145</v>
      </c>
      <c r="N3623" t="str">
        <f>"248030301626"</f>
        <v>248030301626</v>
      </c>
      <c r="O3623" t="str">
        <f>"460006198802283445"</f>
        <v>460006198802283445</v>
      </c>
    </row>
    <row r="3624" customFormat="1" spans="1:15">
      <c r="A3624">
        <v>4757</v>
      </c>
      <c r="B3624" t="s">
        <v>4146</v>
      </c>
      <c r="C3624" t="str">
        <f>"330122198709291527"</f>
        <v>330122198709291527</v>
      </c>
      <c r="L3624">
        <v>4757</v>
      </c>
      <c r="M3624" t="s">
        <v>4146</v>
      </c>
      <c r="O3624" t="str">
        <f>"330122198709291527"</f>
        <v>330122198709291527</v>
      </c>
    </row>
    <row r="3625" customFormat="1" spans="1:15">
      <c r="A3625">
        <v>4758</v>
      </c>
      <c r="B3625" t="s">
        <v>4147</v>
      </c>
      <c r="C3625" t="str">
        <f>"450521199909265240"</f>
        <v>450521199909265240</v>
      </c>
      <c r="D3625" t="str">
        <f>"248030103014"</f>
        <v>248030103014</v>
      </c>
      <c r="L3625">
        <v>4758</v>
      </c>
      <c r="M3625" t="s">
        <v>4147</v>
      </c>
      <c r="N3625" t="str">
        <f>"248030103014"</f>
        <v>248030103014</v>
      </c>
      <c r="O3625" t="str">
        <f>"450521199909265240"</f>
        <v>450521199909265240</v>
      </c>
    </row>
    <row r="3626" customFormat="1" spans="1:15">
      <c r="A3626">
        <v>4759</v>
      </c>
      <c r="B3626" t="s">
        <v>4148</v>
      </c>
      <c r="C3626" t="str">
        <f>"460028200110040424"</f>
        <v>460028200110040424</v>
      </c>
      <c r="L3626">
        <v>4759</v>
      </c>
      <c r="M3626" t="s">
        <v>4148</v>
      </c>
      <c r="O3626" t="str">
        <f>"460028200110040424"</f>
        <v>460028200110040424</v>
      </c>
    </row>
    <row r="3627" customFormat="1" spans="1:15">
      <c r="A3627">
        <v>4760</v>
      </c>
      <c r="B3627" t="s">
        <v>4149</v>
      </c>
      <c r="C3627" t="str">
        <f>"460027199602051726"</f>
        <v>460027199602051726</v>
      </c>
      <c r="D3627" t="str">
        <f>"248030102915"</f>
        <v>248030102915</v>
      </c>
      <c r="L3627">
        <v>4760</v>
      </c>
      <c r="M3627" t="s">
        <v>4149</v>
      </c>
      <c r="N3627" t="str">
        <f>"248030102915"</f>
        <v>248030102915</v>
      </c>
      <c r="O3627" t="str">
        <f>"460027199602051726"</f>
        <v>460027199602051726</v>
      </c>
    </row>
    <row r="3628" customFormat="1" spans="1:15">
      <c r="A3628">
        <v>4761</v>
      </c>
      <c r="B3628" t="s">
        <v>4150</v>
      </c>
      <c r="C3628" t="str">
        <f>"460007199812135789"</f>
        <v>460007199812135789</v>
      </c>
      <c r="D3628" t="str">
        <f>"248030402025"</f>
        <v>248030402025</v>
      </c>
      <c r="L3628">
        <v>4761</v>
      </c>
      <c r="M3628" t="s">
        <v>4150</v>
      </c>
      <c r="N3628" t="str">
        <f>"248030402025"</f>
        <v>248030402025</v>
      </c>
      <c r="O3628" t="str">
        <f>"460007199812135789"</f>
        <v>460007199812135789</v>
      </c>
    </row>
    <row r="3629" customFormat="1" spans="1:15">
      <c r="A3629">
        <v>4762</v>
      </c>
      <c r="B3629" t="s">
        <v>4151</v>
      </c>
      <c r="C3629" t="str">
        <f>"460102199201221227"</f>
        <v>460102199201221227</v>
      </c>
      <c r="D3629" t="str">
        <f>"248030104824"</f>
        <v>248030104824</v>
      </c>
      <c r="L3629">
        <v>4762</v>
      </c>
      <c r="M3629" t="s">
        <v>4151</v>
      </c>
      <c r="N3629" t="str">
        <f>"248030104824"</f>
        <v>248030104824</v>
      </c>
      <c r="O3629" t="str">
        <f>"460102199201221227"</f>
        <v>460102199201221227</v>
      </c>
    </row>
    <row r="3630" customFormat="1" spans="1:15">
      <c r="A3630">
        <v>4763</v>
      </c>
      <c r="B3630" t="s">
        <v>4152</v>
      </c>
      <c r="C3630" t="str">
        <f>"460033200011244182"</f>
        <v>460033200011244182</v>
      </c>
      <c r="D3630" t="str">
        <f>"248030503928"</f>
        <v>248030503928</v>
      </c>
      <c r="L3630">
        <v>4763</v>
      </c>
      <c r="M3630" t="s">
        <v>4152</v>
      </c>
      <c r="N3630" t="str">
        <f>"248030503928"</f>
        <v>248030503928</v>
      </c>
      <c r="O3630" t="str">
        <f>"460033200011244182"</f>
        <v>460033200011244182</v>
      </c>
    </row>
    <row r="3631" customFormat="1" spans="1:15">
      <c r="A3631">
        <v>4764</v>
      </c>
      <c r="B3631" t="s">
        <v>4153</v>
      </c>
      <c r="C3631" t="str">
        <f>"460004199901105240"</f>
        <v>460004199901105240</v>
      </c>
      <c r="L3631">
        <v>4764</v>
      </c>
      <c r="M3631" t="s">
        <v>4153</v>
      </c>
      <c r="O3631" t="str">
        <f>"460004199901105240"</f>
        <v>460004199901105240</v>
      </c>
    </row>
    <row r="3632" customFormat="1" spans="1:15">
      <c r="A3632">
        <v>4766</v>
      </c>
      <c r="B3632" t="s">
        <v>4154</v>
      </c>
      <c r="C3632" t="str">
        <f>"46010419891026034X"</f>
        <v>46010419891026034X</v>
      </c>
      <c r="D3632" t="str">
        <f>"248030500516"</f>
        <v>248030500516</v>
      </c>
      <c r="L3632">
        <v>4766</v>
      </c>
      <c r="M3632" t="s">
        <v>4154</v>
      </c>
      <c r="N3632" t="str">
        <f>"248030500516"</f>
        <v>248030500516</v>
      </c>
      <c r="O3632" t="str">
        <f>"46010419891026034X"</f>
        <v>46010419891026034X</v>
      </c>
    </row>
    <row r="3633" customFormat="1" spans="1:15">
      <c r="A3633">
        <v>4768</v>
      </c>
      <c r="B3633" t="s">
        <v>4155</v>
      </c>
      <c r="C3633" t="str">
        <f>"460200200205310532"</f>
        <v>460200200205310532</v>
      </c>
      <c r="D3633" t="str">
        <f>"248030201726"</f>
        <v>248030201726</v>
      </c>
      <c r="L3633">
        <v>4768</v>
      </c>
      <c r="M3633" t="s">
        <v>4155</v>
      </c>
      <c r="N3633" t="str">
        <f>"248030201726"</f>
        <v>248030201726</v>
      </c>
      <c r="O3633" t="str">
        <f>"460200200205310532"</f>
        <v>460200200205310532</v>
      </c>
    </row>
    <row r="3634" customFormat="1" spans="1:15">
      <c r="A3634">
        <v>4769</v>
      </c>
      <c r="B3634" t="s">
        <v>4156</v>
      </c>
      <c r="C3634" t="str">
        <f>"469003199307039510"</f>
        <v>469003199307039510</v>
      </c>
      <c r="D3634" t="str">
        <f>"248030402911"</f>
        <v>248030402911</v>
      </c>
      <c r="L3634">
        <v>4769</v>
      </c>
      <c r="M3634" t="s">
        <v>4156</v>
      </c>
      <c r="N3634" t="str">
        <f>"248030402911"</f>
        <v>248030402911</v>
      </c>
      <c r="O3634" t="str">
        <f>"469003199307039510"</f>
        <v>469003199307039510</v>
      </c>
    </row>
    <row r="3635" customFormat="1" spans="1:15">
      <c r="A3635">
        <v>4770</v>
      </c>
      <c r="B3635" t="s">
        <v>4157</v>
      </c>
      <c r="C3635" t="str">
        <f>"460003199607123046"</f>
        <v>460003199607123046</v>
      </c>
      <c r="D3635" t="str">
        <f>"248030401807"</f>
        <v>248030401807</v>
      </c>
      <c r="L3635">
        <v>4770</v>
      </c>
      <c r="M3635" t="s">
        <v>4157</v>
      </c>
      <c r="N3635" t="str">
        <f>"248030401807"</f>
        <v>248030401807</v>
      </c>
      <c r="O3635" t="str">
        <f>"460003199607123046"</f>
        <v>460003199607123046</v>
      </c>
    </row>
    <row r="3636" customFormat="1" spans="1:15">
      <c r="A3636">
        <v>4773</v>
      </c>
      <c r="B3636" t="s">
        <v>4158</v>
      </c>
      <c r="C3636" t="str">
        <f>"320621199405233022"</f>
        <v>320621199405233022</v>
      </c>
      <c r="D3636" t="str">
        <f>"248030400708"</f>
        <v>248030400708</v>
      </c>
      <c r="L3636">
        <v>4773</v>
      </c>
      <c r="M3636" t="s">
        <v>4158</v>
      </c>
      <c r="N3636" t="str">
        <f>"248030400708"</f>
        <v>248030400708</v>
      </c>
      <c r="O3636" t="str">
        <f>"320621199405233022"</f>
        <v>320621199405233022</v>
      </c>
    </row>
    <row r="3637" customFormat="1" spans="1:15">
      <c r="A3637">
        <v>4774</v>
      </c>
      <c r="B3637" t="s">
        <v>4159</v>
      </c>
      <c r="C3637" t="str">
        <f>"460007199107117219"</f>
        <v>460007199107117219</v>
      </c>
      <c r="L3637">
        <v>4774</v>
      </c>
      <c r="M3637" t="s">
        <v>4159</v>
      </c>
      <c r="O3637" t="str">
        <f>"460007199107117219"</f>
        <v>460007199107117219</v>
      </c>
    </row>
    <row r="3638" customFormat="1" spans="1:15">
      <c r="A3638">
        <v>4775</v>
      </c>
      <c r="B3638" t="s">
        <v>4160</v>
      </c>
      <c r="C3638" t="str">
        <f>"460028200104246848"</f>
        <v>460028200104246848</v>
      </c>
      <c r="D3638" t="str">
        <f>"248030102426"</f>
        <v>248030102426</v>
      </c>
      <c r="L3638">
        <v>4775</v>
      </c>
      <c r="M3638" t="s">
        <v>4160</v>
      </c>
      <c r="N3638" t="str">
        <f>"248030102426"</f>
        <v>248030102426</v>
      </c>
      <c r="O3638" t="str">
        <f>"460028200104246848"</f>
        <v>460028200104246848</v>
      </c>
    </row>
    <row r="3639" customFormat="1" spans="1:15">
      <c r="A3639">
        <v>4776</v>
      </c>
      <c r="B3639" t="s">
        <v>4161</v>
      </c>
      <c r="C3639" t="str">
        <f>"460005199812145124"</f>
        <v>460005199812145124</v>
      </c>
      <c r="D3639" t="str">
        <f>"248030502218"</f>
        <v>248030502218</v>
      </c>
      <c r="L3639">
        <v>4776</v>
      </c>
      <c r="M3639" t="s">
        <v>4161</v>
      </c>
      <c r="N3639" t="str">
        <f>"248030502218"</f>
        <v>248030502218</v>
      </c>
      <c r="O3639" t="str">
        <f>"460005199812145124"</f>
        <v>460005199812145124</v>
      </c>
    </row>
    <row r="3640" customFormat="1" spans="1:15">
      <c r="A3640">
        <v>4777</v>
      </c>
      <c r="B3640" t="s">
        <v>4162</v>
      </c>
      <c r="C3640" t="str">
        <f>"469024199507150020"</f>
        <v>469024199507150020</v>
      </c>
      <c r="D3640" t="str">
        <f>"248030301712"</f>
        <v>248030301712</v>
      </c>
      <c r="L3640">
        <v>4777</v>
      </c>
      <c r="M3640" t="s">
        <v>4162</v>
      </c>
      <c r="N3640" t="str">
        <f>"248030301712"</f>
        <v>248030301712</v>
      </c>
      <c r="O3640" t="str">
        <f>"469024199507150020"</f>
        <v>469024199507150020</v>
      </c>
    </row>
    <row r="3641" customFormat="1" spans="1:15">
      <c r="A3641">
        <v>4778</v>
      </c>
      <c r="B3641" t="s">
        <v>4163</v>
      </c>
      <c r="C3641" t="str">
        <f>"460103200205021523"</f>
        <v>460103200205021523</v>
      </c>
      <c r="D3641" t="str">
        <f>"248030100928"</f>
        <v>248030100928</v>
      </c>
      <c r="L3641">
        <v>4778</v>
      </c>
      <c r="M3641" t="s">
        <v>4163</v>
      </c>
      <c r="N3641" t="str">
        <f>"248030100928"</f>
        <v>248030100928</v>
      </c>
      <c r="O3641" t="str">
        <f>"460103200205021523"</f>
        <v>460103200205021523</v>
      </c>
    </row>
    <row r="3642" customFormat="1" spans="1:15">
      <c r="A3642">
        <v>4779</v>
      </c>
      <c r="B3642" t="s">
        <v>4164</v>
      </c>
      <c r="C3642" t="str">
        <f>"469006200103141649"</f>
        <v>469006200103141649</v>
      </c>
      <c r="D3642" t="str">
        <f>"248030500121"</f>
        <v>248030500121</v>
      </c>
      <c r="L3642">
        <v>4779</v>
      </c>
      <c r="M3642" t="s">
        <v>4164</v>
      </c>
      <c r="N3642" t="str">
        <f>"248030500121"</f>
        <v>248030500121</v>
      </c>
      <c r="O3642" t="str">
        <f>"469006200103141649"</f>
        <v>469006200103141649</v>
      </c>
    </row>
    <row r="3643" customFormat="1" spans="1:15">
      <c r="A3643">
        <v>4780</v>
      </c>
      <c r="B3643" t="s">
        <v>1174</v>
      </c>
      <c r="C3643" t="str">
        <f>"460005199702186224"</f>
        <v>460005199702186224</v>
      </c>
      <c r="D3643" t="str">
        <f>"248030404318"</f>
        <v>248030404318</v>
      </c>
      <c r="L3643">
        <v>4780</v>
      </c>
      <c r="M3643" t="s">
        <v>1174</v>
      </c>
      <c r="N3643" t="str">
        <f>"248030404318"</f>
        <v>248030404318</v>
      </c>
      <c r="O3643" t="str">
        <f>"460005199702186224"</f>
        <v>460005199702186224</v>
      </c>
    </row>
    <row r="3644" customFormat="1" spans="1:15">
      <c r="A3644">
        <v>4781</v>
      </c>
      <c r="B3644" t="s">
        <v>4165</v>
      </c>
      <c r="C3644" t="str">
        <f>"460005199704046022"</f>
        <v>460005199704046022</v>
      </c>
      <c r="L3644">
        <v>4781</v>
      </c>
      <c r="M3644" t="s">
        <v>4165</v>
      </c>
      <c r="O3644" t="str">
        <f>"460005199704046022"</f>
        <v>460005199704046022</v>
      </c>
    </row>
    <row r="3645" customFormat="1" spans="1:15">
      <c r="A3645">
        <v>4782</v>
      </c>
      <c r="B3645" t="s">
        <v>4166</v>
      </c>
      <c r="C3645" t="str">
        <f>"460027200110175728"</f>
        <v>460027200110175728</v>
      </c>
      <c r="D3645" t="str">
        <f>"248030200105"</f>
        <v>248030200105</v>
      </c>
      <c r="L3645">
        <v>4782</v>
      </c>
      <c r="M3645" t="s">
        <v>4166</v>
      </c>
      <c r="N3645" t="str">
        <f>"248030200105"</f>
        <v>248030200105</v>
      </c>
      <c r="O3645" t="str">
        <f>"460027200110175728"</f>
        <v>460027200110175728</v>
      </c>
    </row>
    <row r="3646" customFormat="1" spans="1:15">
      <c r="A3646">
        <v>4783</v>
      </c>
      <c r="B3646" t="s">
        <v>4167</v>
      </c>
      <c r="C3646" t="str">
        <f>"460002199403131224"</f>
        <v>460002199403131224</v>
      </c>
      <c r="D3646" t="str">
        <f>"248030401405"</f>
        <v>248030401405</v>
      </c>
      <c r="L3646">
        <v>4783</v>
      </c>
      <c r="M3646" t="s">
        <v>4167</v>
      </c>
      <c r="N3646" t="str">
        <f>"248030401405"</f>
        <v>248030401405</v>
      </c>
      <c r="O3646" t="str">
        <f>"460002199403131224"</f>
        <v>460002199403131224</v>
      </c>
    </row>
    <row r="3647" customFormat="1" spans="1:15">
      <c r="A3647">
        <v>4784</v>
      </c>
      <c r="B3647" t="s">
        <v>4168</v>
      </c>
      <c r="C3647" t="str">
        <f>"460026200205032117"</f>
        <v>460026200205032117</v>
      </c>
      <c r="D3647" t="str">
        <f>"248030301804"</f>
        <v>248030301804</v>
      </c>
      <c r="L3647">
        <v>4784</v>
      </c>
      <c r="M3647" t="s">
        <v>4168</v>
      </c>
      <c r="N3647" t="str">
        <f>"248030301804"</f>
        <v>248030301804</v>
      </c>
      <c r="O3647" t="str">
        <f>"460026200205032117"</f>
        <v>460026200205032117</v>
      </c>
    </row>
    <row r="3648" customFormat="1" spans="1:15">
      <c r="A3648">
        <v>4786</v>
      </c>
      <c r="B3648" t="s">
        <v>4169</v>
      </c>
      <c r="C3648" t="str">
        <f>"460027199909070403"</f>
        <v>460027199909070403</v>
      </c>
      <c r="D3648" t="str">
        <f>"248030202516"</f>
        <v>248030202516</v>
      </c>
      <c r="L3648">
        <v>4786</v>
      </c>
      <c r="M3648" t="s">
        <v>4169</v>
      </c>
      <c r="N3648" t="str">
        <f>"248030202516"</f>
        <v>248030202516</v>
      </c>
      <c r="O3648" t="str">
        <f>"460027199909070403"</f>
        <v>460027199909070403</v>
      </c>
    </row>
    <row r="3649" customFormat="1" spans="1:15">
      <c r="A3649">
        <v>4787</v>
      </c>
      <c r="B3649" t="s">
        <v>4170</v>
      </c>
      <c r="C3649" t="str">
        <f>"460003200008277428"</f>
        <v>460003200008277428</v>
      </c>
      <c r="D3649" t="str">
        <f>"248030301314"</f>
        <v>248030301314</v>
      </c>
      <c r="L3649">
        <v>4787</v>
      </c>
      <c r="M3649" t="s">
        <v>4170</v>
      </c>
      <c r="N3649" t="str">
        <f>"248030301314"</f>
        <v>248030301314</v>
      </c>
      <c r="O3649" t="str">
        <f>"460003200008277428"</f>
        <v>460003200008277428</v>
      </c>
    </row>
    <row r="3650" customFormat="1" spans="1:15">
      <c r="A3650">
        <v>4791</v>
      </c>
      <c r="B3650" t="s">
        <v>4171</v>
      </c>
      <c r="C3650" t="str">
        <f>"460108200206235023"</f>
        <v>460108200206235023</v>
      </c>
      <c r="D3650" t="str">
        <f>"248030202029"</f>
        <v>248030202029</v>
      </c>
      <c r="L3650">
        <v>4791</v>
      </c>
      <c r="M3650" t="s">
        <v>4171</v>
      </c>
      <c r="N3650" t="str">
        <f>"248030202029"</f>
        <v>248030202029</v>
      </c>
      <c r="O3650" t="str">
        <f>"460108200206235023"</f>
        <v>460108200206235023</v>
      </c>
    </row>
    <row r="3651" customFormat="1" spans="1:15">
      <c r="A3651">
        <v>4792</v>
      </c>
      <c r="B3651" t="s">
        <v>4172</v>
      </c>
      <c r="C3651" t="str">
        <f>"460200199810305154"</f>
        <v>460200199810305154</v>
      </c>
      <c r="L3651">
        <v>4792</v>
      </c>
      <c r="M3651" t="s">
        <v>4172</v>
      </c>
      <c r="O3651" t="str">
        <f>"460200199810305154"</f>
        <v>460200199810305154</v>
      </c>
    </row>
    <row r="3652" customFormat="1" spans="1:15">
      <c r="A3652">
        <v>4793</v>
      </c>
      <c r="B3652" t="s">
        <v>4173</v>
      </c>
      <c r="C3652" t="str">
        <f>"469023200202120022"</f>
        <v>469023200202120022</v>
      </c>
      <c r="D3652" t="str">
        <f>"248030100428"</f>
        <v>248030100428</v>
      </c>
      <c r="L3652">
        <v>4793</v>
      </c>
      <c r="M3652" t="s">
        <v>4173</v>
      </c>
      <c r="N3652" t="str">
        <f>"248030100428"</f>
        <v>248030100428</v>
      </c>
      <c r="O3652" t="str">
        <f>"469023200202120022"</f>
        <v>469023200202120022</v>
      </c>
    </row>
    <row r="3653" customFormat="1" spans="1:15">
      <c r="A3653">
        <v>4795</v>
      </c>
      <c r="B3653" t="s">
        <v>4174</v>
      </c>
      <c r="C3653" t="str">
        <f>"460106199803024429"</f>
        <v>460106199803024429</v>
      </c>
      <c r="D3653" t="str">
        <f>"248030200704"</f>
        <v>248030200704</v>
      </c>
      <c r="L3653">
        <v>4795</v>
      </c>
      <c r="M3653" t="s">
        <v>4174</v>
      </c>
      <c r="N3653" t="str">
        <f>"248030200704"</f>
        <v>248030200704</v>
      </c>
      <c r="O3653" t="str">
        <f>"460106199803024429"</f>
        <v>460106199803024429</v>
      </c>
    </row>
    <row r="3654" customFormat="1" spans="1:15">
      <c r="A3654">
        <v>4796</v>
      </c>
      <c r="B3654" t="s">
        <v>4175</v>
      </c>
      <c r="C3654" t="str">
        <f>"450127200209171245"</f>
        <v>450127200209171245</v>
      </c>
      <c r="D3654" t="str">
        <f>"248030203704"</f>
        <v>248030203704</v>
      </c>
      <c r="L3654">
        <v>4796</v>
      </c>
      <c r="M3654" t="s">
        <v>4175</v>
      </c>
      <c r="N3654" t="str">
        <f>"248030203704"</f>
        <v>248030203704</v>
      </c>
      <c r="O3654" t="str">
        <f>"450127200209171245"</f>
        <v>450127200209171245</v>
      </c>
    </row>
    <row r="3655" customFormat="1" spans="1:15">
      <c r="A3655">
        <v>4797</v>
      </c>
      <c r="B3655" t="s">
        <v>4176</v>
      </c>
      <c r="C3655" t="str">
        <f>"460002199906085821"</f>
        <v>460002199906085821</v>
      </c>
      <c r="D3655" t="str">
        <f>"248030202815"</f>
        <v>248030202815</v>
      </c>
      <c r="L3655">
        <v>4797</v>
      </c>
      <c r="M3655" t="s">
        <v>4176</v>
      </c>
      <c r="N3655" t="str">
        <f>"248030202815"</f>
        <v>248030202815</v>
      </c>
      <c r="O3655" t="str">
        <f>"460002199906085821"</f>
        <v>460002199906085821</v>
      </c>
    </row>
    <row r="3656" customFormat="1" spans="1:15">
      <c r="A3656">
        <v>4798</v>
      </c>
      <c r="B3656" t="s">
        <v>4177</v>
      </c>
      <c r="C3656" t="str">
        <f>"460003199212054218"</f>
        <v>460003199212054218</v>
      </c>
      <c r="L3656">
        <v>4798</v>
      </c>
      <c r="M3656" t="s">
        <v>4177</v>
      </c>
      <c r="O3656" t="str">
        <f>"460003199212054218"</f>
        <v>460003199212054218</v>
      </c>
    </row>
    <row r="3657" customFormat="1" spans="1:15">
      <c r="A3657">
        <v>4799</v>
      </c>
      <c r="B3657" t="s">
        <v>4178</v>
      </c>
      <c r="C3657" t="str">
        <f>"469003200107267047"</f>
        <v>469003200107267047</v>
      </c>
      <c r="D3657" t="str">
        <f>"248030400301"</f>
        <v>248030400301</v>
      </c>
      <c r="L3657">
        <v>4799</v>
      </c>
      <c r="M3657" t="s">
        <v>4178</v>
      </c>
      <c r="N3657" t="str">
        <f>"248030400301"</f>
        <v>248030400301</v>
      </c>
      <c r="O3657" t="str">
        <f>"469003200107267047"</f>
        <v>469003200107267047</v>
      </c>
    </row>
    <row r="3658" customFormat="1" spans="1:15">
      <c r="A3658">
        <v>4800</v>
      </c>
      <c r="B3658" t="s">
        <v>4179</v>
      </c>
      <c r="C3658" t="str">
        <f>"460027200005234722"</f>
        <v>460027200005234722</v>
      </c>
      <c r="D3658" t="str">
        <f>"248030105018"</f>
        <v>248030105018</v>
      </c>
      <c r="L3658">
        <v>4800</v>
      </c>
      <c r="M3658" t="s">
        <v>4179</v>
      </c>
      <c r="N3658" t="str">
        <f>"248030105018"</f>
        <v>248030105018</v>
      </c>
      <c r="O3658" t="str">
        <f>"460027200005234722"</f>
        <v>460027200005234722</v>
      </c>
    </row>
    <row r="3659" customFormat="1" spans="1:15">
      <c r="A3659">
        <v>4802</v>
      </c>
      <c r="B3659" t="s">
        <v>3730</v>
      </c>
      <c r="C3659" t="str">
        <f>"460103199306101228"</f>
        <v>460103199306101228</v>
      </c>
      <c r="D3659" t="str">
        <f>"248030501011"</f>
        <v>248030501011</v>
      </c>
      <c r="L3659">
        <v>4802</v>
      </c>
      <c r="M3659" t="s">
        <v>3730</v>
      </c>
      <c r="N3659" t="str">
        <f>"248030501011"</f>
        <v>248030501011</v>
      </c>
      <c r="O3659" t="str">
        <f>"460103199306101228"</f>
        <v>460103199306101228</v>
      </c>
    </row>
    <row r="3660" customFormat="1" spans="1:15">
      <c r="A3660">
        <v>4803</v>
      </c>
      <c r="B3660" t="s">
        <v>4180</v>
      </c>
      <c r="C3660" t="str">
        <f>"460003199508193428"</f>
        <v>460003199508193428</v>
      </c>
      <c r="D3660" t="str">
        <f>"248030200318"</f>
        <v>248030200318</v>
      </c>
      <c r="L3660">
        <v>4803</v>
      </c>
      <c r="M3660" t="s">
        <v>4180</v>
      </c>
      <c r="N3660" t="str">
        <f>"248030200318"</f>
        <v>248030200318</v>
      </c>
      <c r="O3660" t="str">
        <f>"460003199508193428"</f>
        <v>460003199508193428</v>
      </c>
    </row>
    <row r="3661" customFormat="1" spans="1:15">
      <c r="A3661">
        <v>4805</v>
      </c>
      <c r="B3661" t="s">
        <v>4181</v>
      </c>
      <c r="C3661" t="str">
        <f>"460003199803236611"</f>
        <v>460003199803236611</v>
      </c>
      <c r="D3661" t="str">
        <f>"248030201720"</f>
        <v>248030201720</v>
      </c>
      <c r="L3661">
        <v>4805</v>
      </c>
      <c r="M3661" t="s">
        <v>4181</v>
      </c>
      <c r="N3661" t="str">
        <f>"248030201720"</f>
        <v>248030201720</v>
      </c>
      <c r="O3661" t="str">
        <f>"460003199803236611"</f>
        <v>460003199803236611</v>
      </c>
    </row>
    <row r="3662" customFormat="1" spans="1:15">
      <c r="A3662">
        <v>4806</v>
      </c>
      <c r="B3662" t="s">
        <v>4182</v>
      </c>
      <c r="C3662" t="str">
        <f>"460103199911140022"</f>
        <v>460103199911140022</v>
      </c>
      <c r="L3662">
        <v>4806</v>
      </c>
      <c r="M3662" t="s">
        <v>4182</v>
      </c>
      <c r="O3662" t="str">
        <f>"460103199911140022"</f>
        <v>460103199911140022</v>
      </c>
    </row>
    <row r="3663" customFormat="1" spans="1:15">
      <c r="A3663">
        <v>4807</v>
      </c>
      <c r="B3663" t="s">
        <v>4183</v>
      </c>
      <c r="C3663" t="str">
        <f>"460005199904136620"</f>
        <v>460005199904136620</v>
      </c>
      <c r="D3663" t="str">
        <f>"248030101413"</f>
        <v>248030101413</v>
      </c>
      <c r="L3663">
        <v>4807</v>
      </c>
      <c r="M3663" t="s">
        <v>4183</v>
      </c>
      <c r="N3663" t="str">
        <f>"248030101413"</f>
        <v>248030101413</v>
      </c>
      <c r="O3663" t="str">
        <f>"460005199904136620"</f>
        <v>460005199904136620</v>
      </c>
    </row>
    <row r="3664" customFormat="1" spans="1:15">
      <c r="A3664">
        <v>4808</v>
      </c>
      <c r="B3664" t="s">
        <v>4184</v>
      </c>
      <c r="C3664" t="str">
        <f>"460007199312150827"</f>
        <v>460007199312150827</v>
      </c>
      <c r="D3664" t="str">
        <f>"248030500110"</f>
        <v>248030500110</v>
      </c>
      <c r="L3664">
        <v>4808</v>
      </c>
      <c r="M3664" t="s">
        <v>4184</v>
      </c>
      <c r="N3664" t="str">
        <f>"248030500110"</f>
        <v>248030500110</v>
      </c>
      <c r="O3664" t="str">
        <f>"460007199312150827"</f>
        <v>460007199312150827</v>
      </c>
    </row>
    <row r="3665" customFormat="1" spans="1:15">
      <c r="A3665">
        <v>4809</v>
      </c>
      <c r="B3665" t="s">
        <v>4185</v>
      </c>
      <c r="C3665" t="str">
        <f>"431121200105080022"</f>
        <v>431121200105080022</v>
      </c>
      <c r="L3665">
        <v>4809</v>
      </c>
      <c r="M3665" t="s">
        <v>4185</v>
      </c>
      <c r="O3665" t="str">
        <f>"431121200105080022"</f>
        <v>431121200105080022</v>
      </c>
    </row>
    <row r="3666" customFormat="1" spans="1:15">
      <c r="A3666">
        <v>4810</v>
      </c>
      <c r="B3666" t="s">
        <v>4186</v>
      </c>
      <c r="C3666" t="str">
        <f>"232332200003250012"</f>
        <v>232332200003250012</v>
      </c>
      <c r="D3666" t="str">
        <f>"248030203311"</f>
        <v>248030203311</v>
      </c>
      <c r="L3666">
        <v>4810</v>
      </c>
      <c r="M3666" t="s">
        <v>4186</v>
      </c>
      <c r="N3666" t="str">
        <f>"248030203311"</f>
        <v>248030203311</v>
      </c>
      <c r="O3666" t="str">
        <f>"232332200003250012"</f>
        <v>232332200003250012</v>
      </c>
    </row>
    <row r="3667" customFormat="1" spans="1:15">
      <c r="A3667">
        <v>4811</v>
      </c>
      <c r="B3667" t="s">
        <v>4187</v>
      </c>
      <c r="C3667" t="str">
        <f>"46002619980227272X"</f>
        <v>46002619980227272X</v>
      </c>
      <c r="D3667" t="str">
        <f>"248030300321"</f>
        <v>248030300321</v>
      </c>
      <c r="L3667">
        <v>4811</v>
      </c>
      <c r="M3667" t="s">
        <v>4187</v>
      </c>
      <c r="N3667" t="str">
        <f>"248030300321"</f>
        <v>248030300321</v>
      </c>
      <c r="O3667" t="str">
        <f>"46002619980227272X"</f>
        <v>46002619980227272X</v>
      </c>
    </row>
    <row r="3668" customFormat="1" spans="1:15">
      <c r="A3668">
        <v>4812</v>
      </c>
      <c r="B3668" t="s">
        <v>1936</v>
      </c>
      <c r="C3668" t="str">
        <f>"460004199712253623"</f>
        <v>460004199712253623</v>
      </c>
      <c r="D3668" t="str">
        <f>"248030404224"</f>
        <v>248030404224</v>
      </c>
      <c r="L3668">
        <v>4812</v>
      </c>
      <c r="M3668" t="s">
        <v>1936</v>
      </c>
      <c r="N3668" t="str">
        <f>"248030404224"</f>
        <v>248030404224</v>
      </c>
      <c r="O3668" t="str">
        <f>"460004199712253623"</f>
        <v>460004199712253623</v>
      </c>
    </row>
    <row r="3669" customFormat="1" spans="1:15">
      <c r="A3669">
        <v>4815</v>
      </c>
      <c r="B3669" t="s">
        <v>4188</v>
      </c>
      <c r="C3669" t="str">
        <f>"430424199802140026"</f>
        <v>430424199802140026</v>
      </c>
      <c r="D3669" t="str">
        <f>"248030203402"</f>
        <v>248030203402</v>
      </c>
      <c r="L3669">
        <v>4815</v>
      </c>
      <c r="M3669" t="s">
        <v>4188</v>
      </c>
      <c r="N3669" t="str">
        <f>"248030203402"</f>
        <v>248030203402</v>
      </c>
      <c r="O3669" t="str">
        <f>"430424199802140026"</f>
        <v>430424199802140026</v>
      </c>
    </row>
    <row r="3670" customFormat="1" spans="1:15">
      <c r="A3670">
        <v>4816</v>
      </c>
      <c r="B3670" t="s">
        <v>4189</v>
      </c>
      <c r="C3670" t="str">
        <f>"460006200005101346"</f>
        <v>460006200005101346</v>
      </c>
      <c r="D3670" t="str">
        <f>"248030101708"</f>
        <v>248030101708</v>
      </c>
      <c r="L3670">
        <v>4816</v>
      </c>
      <c r="M3670" t="s">
        <v>4189</v>
      </c>
      <c r="N3670" t="str">
        <f>"248030101708"</f>
        <v>248030101708</v>
      </c>
      <c r="O3670" t="str">
        <f>"460006200005101346"</f>
        <v>460006200005101346</v>
      </c>
    </row>
    <row r="3671" customFormat="1" spans="1:15">
      <c r="A3671">
        <v>4817</v>
      </c>
      <c r="B3671" t="s">
        <v>4190</v>
      </c>
      <c r="C3671" t="str">
        <f>"46000319911210402X"</f>
        <v>46000319911210402X</v>
      </c>
      <c r="D3671" t="str">
        <f>"248030302324"</f>
        <v>248030302324</v>
      </c>
      <c r="L3671">
        <v>4817</v>
      </c>
      <c r="M3671" t="s">
        <v>4190</v>
      </c>
      <c r="N3671" t="str">
        <f>"248030302324"</f>
        <v>248030302324</v>
      </c>
      <c r="O3671" t="str">
        <f>"46000319911210402X"</f>
        <v>46000319911210402X</v>
      </c>
    </row>
    <row r="3672" customFormat="1" spans="1:15">
      <c r="A3672">
        <v>4818</v>
      </c>
      <c r="B3672" t="s">
        <v>4191</v>
      </c>
      <c r="C3672" t="str">
        <f>"469007199801258765"</f>
        <v>469007199801258765</v>
      </c>
      <c r="L3672">
        <v>4818</v>
      </c>
      <c r="M3672" t="s">
        <v>4191</v>
      </c>
      <c r="O3672" t="str">
        <f>"469007199801258765"</f>
        <v>469007199801258765</v>
      </c>
    </row>
    <row r="3673" customFormat="1" spans="1:15">
      <c r="A3673">
        <v>4819</v>
      </c>
      <c r="B3673" t="s">
        <v>4192</v>
      </c>
      <c r="C3673" t="str">
        <f>"460004199811130047"</f>
        <v>460004199811130047</v>
      </c>
      <c r="D3673" t="str">
        <f>"248030502702"</f>
        <v>248030502702</v>
      </c>
      <c r="L3673">
        <v>4819</v>
      </c>
      <c r="M3673" t="s">
        <v>4192</v>
      </c>
      <c r="N3673" t="str">
        <f>"248030502702"</f>
        <v>248030502702</v>
      </c>
      <c r="O3673" t="str">
        <f>"460004199811130047"</f>
        <v>460004199811130047</v>
      </c>
    </row>
    <row r="3674" customFormat="1" spans="1:15">
      <c r="A3674">
        <v>4820</v>
      </c>
      <c r="B3674" t="s">
        <v>4193</v>
      </c>
      <c r="C3674" t="str">
        <f>"460027200007068529"</f>
        <v>460027200007068529</v>
      </c>
      <c r="D3674" t="str">
        <f>"248030501601"</f>
        <v>248030501601</v>
      </c>
      <c r="L3674">
        <v>4820</v>
      </c>
      <c r="M3674" t="s">
        <v>4193</v>
      </c>
      <c r="N3674" t="str">
        <f>"248030501601"</f>
        <v>248030501601</v>
      </c>
      <c r="O3674" t="str">
        <f>"460027200007068529"</f>
        <v>460027200007068529</v>
      </c>
    </row>
    <row r="3675" customFormat="1" spans="1:15">
      <c r="A3675">
        <v>4821</v>
      </c>
      <c r="B3675" t="s">
        <v>4194</v>
      </c>
      <c r="C3675" t="str">
        <f>"460200199905173609"</f>
        <v>460200199905173609</v>
      </c>
      <c r="D3675" t="str">
        <f>"248030502813"</f>
        <v>248030502813</v>
      </c>
      <c r="L3675">
        <v>4821</v>
      </c>
      <c r="M3675" t="s">
        <v>4194</v>
      </c>
      <c r="N3675" t="str">
        <f>"248030502813"</f>
        <v>248030502813</v>
      </c>
      <c r="O3675" t="str">
        <f>"460200199905173609"</f>
        <v>460200199905173609</v>
      </c>
    </row>
    <row r="3676" customFormat="1" spans="1:15">
      <c r="A3676">
        <v>4822</v>
      </c>
      <c r="B3676" t="s">
        <v>4195</v>
      </c>
      <c r="C3676" t="str">
        <f>"360281199910290038"</f>
        <v>360281199910290038</v>
      </c>
      <c r="L3676">
        <v>4822</v>
      </c>
      <c r="M3676" t="s">
        <v>4195</v>
      </c>
      <c r="O3676" t="str">
        <f>"360281199910290038"</f>
        <v>360281199910290038</v>
      </c>
    </row>
    <row r="3677" customFormat="1" spans="1:15">
      <c r="A3677">
        <v>4823</v>
      </c>
      <c r="B3677" t="s">
        <v>4196</v>
      </c>
      <c r="C3677" t="str">
        <f>"460007200310194389"</f>
        <v>460007200310194389</v>
      </c>
      <c r="L3677">
        <v>4823</v>
      </c>
      <c r="M3677" t="s">
        <v>4196</v>
      </c>
      <c r="O3677" t="str">
        <f>"460007200310194389"</f>
        <v>460007200310194389</v>
      </c>
    </row>
    <row r="3678" customFormat="1" spans="1:15">
      <c r="A3678">
        <v>4825</v>
      </c>
      <c r="B3678" t="s">
        <v>4197</v>
      </c>
      <c r="C3678" t="str">
        <f>"460002200202204613"</f>
        <v>460002200202204613</v>
      </c>
      <c r="D3678" t="str">
        <f>"248030302327"</f>
        <v>248030302327</v>
      </c>
      <c r="L3678">
        <v>4825</v>
      </c>
      <c r="M3678" t="s">
        <v>4197</v>
      </c>
      <c r="N3678" t="str">
        <f>"248030302327"</f>
        <v>248030302327</v>
      </c>
      <c r="O3678" t="str">
        <f>"460002200202204613"</f>
        <v>460002200202204613</v>
      </c>
    </row>
    <row r="3679" customFormat="1" spans="1:15">
      <c r="A3679">
        <v>4826</v>
      </c>
      <c r="B3679" t="s">
        <v>4198</v>
      </c>
      <c r="C3679" t="str">
        <f>"469003200012200640"</f>
        <v>469003200012200640</v>
      </c>
      <c r="D3679" t="str">
        <f>"248030501504"</f>
        <v>248030501504</v>
      </c>
      <c r="L3679">
        <v>4826</v>
      </c>
      <c r="M3679" t="s">
        <v>4198</v>
      </c>
      <c r="N3679" t="str">
        <f>"248030501504"</f>
        <v>248030501504</v>
      </c>
      <c r="O3679" t="str">
        <f>"469003200012200640"</f>
        <v>469003200012200640</v>
      </c>
    </row>
    <row r="3680" customFormat="1" spans="1:15">
      <c r="A3680">
        <v>4827</v>
      </c>
      <c r="B3680" t="s">
        <v>4199</v>
      </c>
      <c r="C3680" t="str">
        <f>"445121199904265322"</f>
        <v>445121199904265322</v>
      </c>
      <c r="D3680" t="str">
        <f>"248030400320"</f>
        <v>248030400320</v>
      </c>
      <c r="L3680">
        <v>4827</v>
      </c>
      <c r="M3680" t="s">
        <v>4199</v>
      </c>
      <c r="N3680" t="str">
        <f>"248030400320"</f>
        <v>248030400320</v>
      </c>
      <c r="O3680" t="str">
        <f>"445121199904265322"</f>
        <v>445121199904265322</v>
      </c>
    </row>
    <row r="3681" customFormat="1" spans="1:15">
      <c r="A3681">
        <v>4828</v>
      </c>
      <c r="B3681" t="s">
        <v>4200</v>
      </c>
      <c r="C3681" t="str">
        <f>"460003199805103011"</f>
        <v>460003199805103011</v>
      </c>
      <c r="D3681" t="str">
        <f>"248030201121"</f>
        <v>248030201121</v>
      </c>
      <c r="L3681">
        <v>4828</v>
      </c>
      <c r="M3681" t="s">
        <v>4200</v>
      </c>
      <c r="N3681" t="str">
        <f>"248030201121"</f>
        <v>248030201121</v>
      </c>
      <c r="O3681" t="str">
        <f>"460003199805103011"</f>
        <v>460003199805103011</v>
      </c>
    </row>
    <row r="3682" customFormat="1" spans="1:15">
      <c r="A3682">
        <v>4829</v>
      </c>
      <c r="B3682" t="s">
        <v>453</v>
      </c>
      <c r="C3682" t="str">
        <f>"460003199310102228"</f>
        <v>460003199310102228</v>
      </c>
      <c r="D3682" t="str">
        <f>"248030300107"</f>
        <v>248030300107</v>
      </c>
      <c r="L3682">
        <v>4829</v>
      </c>
      <c r="M3682" t="s">
        <v>453</v>
      </c>
      <c r="N3682" t="str">
        <f>"248030300107"</f>
        <v>248030300107</v>
      </c>
      <c r="O3682" t="str">
        <f>"460003199310102228"</f>
        <v>460003199310102228</v>
      </c>
    </row>
    <row r="3683" customFormat="1" spans="1:15">
      <c r="A3683">
        <v>4830</v>
      </c>
      <c r="B3683" t="s">
        <v>4201</v>
      </c>
      <c r="C3683" t="str">
        <f>"460022198810021242"</f>
        <v>460022198810021242</v>
      </c>
      <c r="D3683" t="str">
        <f>"248030501428"</f>
        <v>248030501428</v>
      </c>
      <c r="L3683">
        <v>4830</v>
      </c>
      <c r="M3683" t="s">
        <v>4201</v>
      </c>
      <c r="N3683" t="str">
        <f>"248030501428"</f>
        <v>248030501428</v>
      </c>
      <c r="O3683" t="str">
        <f>"460022198810021242"</f>
        <v>460022198810021242</v>
      </c>
    </row>
    <row r="3684" customFormat="1" spans="1:15">
      <c r="A3684">
        <v>4831</v>
      </c>
      <c r="B3684" t="s">
        <v>4202</v>
      </c>
      <c r="C3684" t="str">
        <f>"431121199709128044"</f>
        <v>431121199709128044</v>
      </c>
      <c r="L3684">
        <v>4831</v>
      </c>
      <c r="M3684" t="s">
        <v>4202</v>
      </c>
      <c r="O3684" t="str">
        <f>"431121199709128044"</f>
        <v>431121199709128044</v>
      </c>
    </row>
    <row r="3685" customFormat="1" spans="1:15">
      <c r="A3685">
        <v>4832</v>
      </c>
      <c r="B3685" t="s">
        <v>4203</v>
      </c>
      <c r="C3685" t="str">
        <f>"230604199612084420"</f>
        <v>230604199612084420</v>
      </c>
      <c r="L3685">
        <v>4832</v>
      </c>
      <c r="M3685" t="s">
        <v>4203</v>
      </c>
      <c r="O3685" t="str">
        <f>"230604199612084420"</f>
        <v>230604199612084420</v>
      </c>
    </row>
    <row r="3686" customFormat="1" spans="1:15">
      <c r="A3686">
        <v>4835</v>
      </c>
      <c r="B3686" t="s">
        <v>4204</v>
      </c>
      <c r="C3686" t="str">
        <f>"650103199811261324"</f>
        <v>650103199811261324</v>
      </c>
      <c r="D3686" t="str">
        <f>"248030201117"</f>
        <v>248030201117</v>
      </c>
      <c r="L3686">
        <v>4835</v>
      </c>
      <c r="M3686" t="s">
        <v>4204</v>
      </c>
      <c r="N3686" t="str">
        <f>"248030201117"</f>
        <v>248030201117</v>
      </c>
      <c r="O3686" t="str">
        <f>"650103199811261324"</f>
        <v>650103199811261324</v>
      </c>
    </row>
    <row r="3687" customFormat="1" spans="1:15">
      <c r="A3687">
        <v>4837</v>
      </c>
      <c r="B3687" t="s">
        <v>4205</v>
      </c>
      <c r="C3687" t="str">
        <f>"460102200010110626"</f>
        <v>460102200010110626</v>
      </c>
      <c r="D3687" t="str">
        <f>"248030402405"</f>
        <v>248030402405</v>
      </c>
      <c r="L3687">
        <v>4837</v>
      </c>
      <c r="M3687" t="s">
        <v>4205</v>
      </c>
      <c r="N3687" t="str">
        <f>"248030402405"</f>
        <v>248030402405</v>
      </c>
      <c r="O3687" t="str">
        <f>"460102200010110626"</f>
        <v>460102200010110626</v>
      </c>
    </row>
    <row r="3688" customFormat="1" spans="1:15">
      <c r="A3688">
        <v>4838</v>
      </c>
      <c r="B3688" t="s">
        <v>4206</v>
      </c>
      <c r="C3688" t="str">
        <f>"320830199411260016"</f>
        <v>320830199411260016</v>
      </c>
      <c r="L3688">
        <v>4838</v>
      </c>
      <c r="M3688" t="s">
        <v>4206</v>
      </c>
      <c r="O3688" t="str">
        <f>"320830199411260016"</f>
        <v>320830199411260016</v>
      </c>
    </row>
    <row r="3689" customFormat="1" spans="1:15">
      <c r="A3689">
        <v>4839</v>
      </c>
      <c r="B3689" t="s">
        <v>4207</v>
      </c>
      <c r="C3689" t="str">
        <f>"460004200112092622"</f>
        <v>460004200112092622</v>
      </c>
      <c r="D3689" t="str">
        <f>"248030102507"</f>
        <v>248030102507</v>
      </c>
      <c r="L3689">
        <v>4839</v>
      </c>
      <c r="M3689" t="s">
        <v>4207</v>
      </c>
      <c r="N3689" t="str">
        <f>"248030102507"</f>
        <v>248030102507</v>
      </c>
      <c r="O3689" t="str">
        <f>"460004200112092622"</f>
        <v>460004200112092622</v>
      </c>
    </row>
    <row r="3690" customFormat="1" spans="1:15">
      <c r="A3690">
        <v>4840</v>
      </c>
      <c r="B3690" t="s">
        <v>4208</v>
      </c>
      <c r="C3690" t="str">
        <f>"469007200206034965"</f>
        <v>469007200206034965</v>
      </c>
      <c r="D3690" t="str">
        <f>"248030401705"</f>
        <v>248030401705</v>
      </c>
      <c r="L3690">
        <v>4840</v>
      </c>
      <c r="M3690" t="s">
        <v>4208</v>
      </c>
      <c r="N3690" t="str">
        <f>"248030401705"</f>
        <v>248030401705</v>
      </c>
      <c r="O3690" t="str">
        <f>"469007200206034965"</f>
        <v>469007200206034965</v>
      </c>
    </row>
    <row r="3691" customFormat="1" spans="1:15">
      <c r="A3691">
        <v>4841</v>
      </c>
      <c r="B3691" t="s">
        <v>4209</v>
      </c>
      <c r="C3691" t="str">
        <f>"469021200204084229"</f>
        <v>469021200204084229</v>
      </c>
      <c r="L3691">
        <v>4841</v>
      </c>
      <c r="M3691" t="s">
        <v>4209</v>
      </c>
      <c r="O3691" t="str">
        <f>"469021200204084229"</f>
        <v>469021200204084229</v>
      </c>
    </row>
    <row r="3692" customFormat="1" spans="1:15">
      <c r="A3692">
        <v>4843</v>
      </c>
      <c r="B3692" t="s">
        <v>4210</v>
      </c>
      <c r="C3692" t="str">
        <f>"421023198910028062"</f>
        <v>421023198910028062</v>
      </c>
      <c r="D3692" t="str">
        <f>"248030502419"</f>
        <v>248030502419</v>
      </c>
      <c r="L3692">
        <v>4843</v>
      </c>
      <c r="M3692" t="s">
        <v>4210</v>
      </c>
      <c r="N3692" t="str">
        <f>"248030502419"</f>
        <v>248030502419</v>
      </c>
      <c r="O3692" t="str">
        <f>"421023198910028062"</f>
        <v>421023198910028062</v>
      </c>
    </row>
    <row r="3693" customFormat="1" spans="1:15">
      <c r="A3693">
        <v>4845</v>
      </c>
      <c r="B3693" t="s">
        <v>4211</v>
      </c>
      <c r="C3693" t="str">
        <f>"350723199802220042"</f>
        <v>350723199802220042</v>
      </c>
      <c r="D3693" t="str">
        <f>"248030202303"</f>
        <v>248030202303</v>
      </c>
      <c r="L3693">
        <v>4845</v>
      </c>
      <c r="M3693" t="s">
        <v>4211</v>
      </c>
      <c r="N3693" t="str">
        <f>"248030202303"</f>
        <v>248030202303</v>
      </c>
      <c r="O3693" t="str">
        <f>"350723199802220042"</f>
        <v>350723199802220042</v>
      </c>
    </row>
    <row r="3694" customFormat="1" spans="1:15">
      <c r="A3694">
        <v>4846</v>
      </c>
      <c r="B3694" t="s">
        <v>4212</v>
      </c>
      <c r="C3694" t="str">
        <f>"469003200107210921"</f>
        <v>469003200107210921</v>
      </c>
      <c r="D3694" t="str">
        <f>"248030100929"</f>
        <v>248030100929</v>
      </c>
      <c r="L3694">
        <v>4846</v>
      </c>
      <c r="M3694" t="s">
        <v>4212</v>
      </c>
      <c r="N3694" t="str">
        <f>"248030100929"</f>
        <v>248030100929</v>
      </c>
      <c r="O3694" t="str">
        <f>"469003200107210921"</f>
        <v>469003200107210921</v>
      </c>
    </row>
    <row r="3695" customFormat="1" spans="1:15">
      <c r="A3695">
        <v>4848</v>
      </c>
      <c r="B3695" t="s">
        <v>4213</v>
      </c>
      <c r="C3695" t="str">
        <f>"460003199812161834"</f>
        <v>460003199812161834</v>
      </c>
      <c r="L3695">
        <v>4848</v>
      </c>
      <c r="M3695" t="s">
        <v>4213</v>
      </c>
      <c r="O3695" t="str">
        <f>"460003199812161834"</f>
        <v>460003199812161834</v>
      </c>
    </row>
    <row r="3696" customFormat="1" spans="1:15">
      <c r="A3696">
        <v>4849</v>
      </c>
      <c r="B3696" t="s">
        <v>4214</v>
      </c>
      <c r="C3696" t="str">
        <f>"232700199404200222"</f>
        <v>232700199404200222</v>
      </c>
      <c r="D3696" t="str">
        <f>"248030400826"</f>
        <v>248030400826</v>
      </c>
      <c r="L3696">
        <v>4849</v>
      </c>
      <c r="M3696" t="s">
        <v>4214</v>
      </c>
      <c r="N3696" t="str">
        <f>"248030400826"</f>
        <v>248030400826</v>
      </c>
      <c r="O3696" t="str">
        <f>"232700199404200222"</f>
        <v>232700199404200222</v>
      </c>
    </row>
    <row r="3697" customFormat="1" spans="1:15">
      <c r="A3697">
        <v>4850</v>
      </c>
      <c r="B3697" t="s">
        <v>4215</v>
      </c>
      <c r="C3697" t="str">
        <f>"460028200009163227"</f>
        <v>460028200009163227</v>
      </c>
      <c r="D3697" t="str">
        <f>"248030301301"</f>
        <v>248030301301</v>
      </c>
      <c r="L3697">
        <v>4850</v>
      </c>
      <c r="M3697" t="s">
        <v>4215</v>
      </c>
      <c r="N3697" t="str">
        <f>"248030301301"</f>
        <v>248030301301</v>
      </c>
      <c r="O3697" t="str">
        <f>"460028200009163227"</f>
        <v>460028200009163227</v>
      </c>
    </row>
    <row r="3698" customFormat="1" spans="1:15">
      <c r="A3698">
        <v>4852</v>
      </c>
      <c r="B3698" t="s">
        <v>4216</v>
      </c>
      <c r="C3698" t="str">
        <f>"130203199204250328"</f>
        <v>130203199204250328</v>
      </c>
      <c r="L3698">
        <v>4852</v>
      </c>
      <c r="M3698" t="s">
        <v>4216</v>
      </c>
      <c r="O3698" t="str">
        <f>"130203199204250328"</f>
        <v>130203199204250328</v>
      </c>
    </row>
    <row r="3699" customFormat="1" spans="1:15">
      <c r="A3699">
        <v>4853</v>
      </c>
      <c r="B3699" t="s">
        <v>4217</v>
      </c>
      <c r="C3699" t="str">
        <f>"460032199112224365"</f>
        <v>460032199112224365</v>
      </c>
      <c r="D3699" t="str">
        <f>"248030401525"</f>
        <v>248030401525</v>
      </c>
      <c r="L3699">
        <v>4853</v>
      </c>
      <c r="M3699" t="s">
        <v>4217</v>
      </c>
      <c r="N3699" t="str">
        <f>"248030401525"</f>
        <v>248030401525</v>
      </c>
      <c r="O3699" t="str">
        <f>"460032199112224365"</f>
        <v>460032199112224365</v>
      </c>
    </row>
    <row r="3700" customFormat="1" spans="1:15">
      <c r="A3700">
        <v>4854</v>
      </c>
      <c r="B3700" t="s">
        <v>4218</v>
      </c>
      <c r="C3700" t="str">
        <f>"460300199209050627"</f>
        <v>460300199209050627</v>
      </c>
      <c r="L3700">
        <v>4854</v>
      </c>
      <c r="M3700" t="s">
        <v>4218</v>
      </c>
      <c r="O3700" t="str">
        <f>"460300199209050627"</f>
        <v>460300199209050627</v>
      </c>
    </row>
    <row r="3701" customFormat="1" spans="1:15">
      <c r="A3701">
        <v>4855</v>
      </c>
      <c r="B3701" t="s">
        <v>4219</v>
      </c>
      <c r="C3701" t="str">
        <f>"460003199410213224"</f>
        <v>460003199410213224</v>
      </c>
      <c r="D3701" t="str">
        <f>"248030203809"</f>
        <v>248030203809</v>
      </c>
      <c r="L3701">
        <v>4855</v>
      </c>
      <c r="M3701" t="s">
        <v>4219</v>
      </c>
      <c r="N3701" t="str">
        <f>"248030203809"</f>
        <v>248030203809</v>
      </c>
      <c r="O3701" t="str">
        <f>"460003199410213224"</f>
        <v>460003199410213224</v>
      </c>
    </row>
    <row r="3702" customFormat="1" spans="1:15">
      <c r="A3702">
        <v>4856</v>
      </c>
      <c r="B3702" t="s">
        <v>105</v>
      </c>
      <c r="C3702" t="str">
        <f>"41102319890423604X"</f>
        <v>41102319890423604X</v>
      </c>
      <c r="D3702" t="str">
        <f>"248030501819"</f>
        <v>248030501819</v>
      </c>
      <c r="L3702">
        <v>4856</v>
      </c>
      <c r="M3702" t="s">
        <v>105</v>
      </c>
      <c r="N3702" t="str">
        <f>"248030501819"</f>
        <v>248030501819</v>
      </c>
      <c r="O3702" t="str">
        <f>"41102319890423604X"</f>
        <v>41102319890423604X</v>
      </c>
    </row>
    <row r="3703" customFormat="1" spans="1:15">
      <c r="A3703">
        <v>4857</v>
      </c>
      <c r="B3703" t="s">
        <v>4220</v>
      </c>
      <c r="C3703" t="str">
        <f>"460028199910286849"</f>
        <v>460028199910286849</v>
      </c>
      <c r="D3703" t="str">
        <f>"248030300821"</f>
        <v>248030300821</v>
      </c>
      <c r="L3703">
        <v>4857</v>
      </c>
      <c r="M3703" t="s">
        <v>4220</v>
      </c>
      <c r="N3703" t="str">
        <f>"248030300821"</f>
        <v>248030300821</v>
      </c>
      <c r="O3703" t="str">
        <f>"460028199910286849"</f>
        <v>460028199910286849</v>
      </c>
    </row>
    <row r="3704" customFormat="1" spans="1:15">
      <c r="A3704">
        <v>4858</v>
      </c>
      <c r="B3704" t="s">
        <v>4221</v>
      </c>
      <c r="C3704" t="str">
        <f>"412726199601023365"</f>
        <v>412726199601023365</v>
      </c>
      <c r="D3704" t="str">
        <f>"248030404308"</f>
        <v>248030404308</v>
      </c>
      <c r="L3704">
        <v>4858</v>
      </c>
      <c r="M3704" t="s">
        <v>4221</v>
      </c>
      <c r="N3704" t="str">
        <f>"248030404308"</f>
        <v>248030404308</v>
      </c>
      <c r="O3704" t="str">
        <f>"412726199601023365"</f>
        <v>412726199601023365</v>
      </c>
    </row>
    <row r="3705" customFormat="1" spans="1:15">
      <c r="A3705">
        <v>4859</v>
      </c>
      <c r="B3705" t="s">
        <v>4222</v>
      </c>
      <c r="C3705" t="str">
        <f>"460034199103205042"</f>
        <v>460034199103205042</v>
      </c>
      <c r="D3705" t="str">
        <f>"248030200927"</f>
        <v>248030200927</v>
      </c>
      <c r="L3705">
        <v>4859</v>
      </c>
      <c r="M3705" t="s">
        <v>4222</v>
      </c>
      <c r="N3705" t="str">
        <f>"248030200927"</f>
        <v>248030200927</v>
      </c>
      <c r="O3705" t="str">
        <f>"460034199103205042"</f>
        <v>460034199103205042</v>
      </c>
    </row>
    <row r="3706" customFormat="1" spans="1:15">
      <c r="A3706">
        <v>4860</v>
      </c>
      <c r="B3706" t="s">
        <v>418</v>
      </c>
      <c r="C3706" t="str">
        <f>"460003200309164443"</f>
        <v>460003200309164443</v>
      </c>
      <c r="D3706" t="str">
        <f>"248030301826"</f>
        <v>248030301826</v>
      </c>
      <c r="L3706">
        <v>4860</v>
      </c>
      <c r="M3706" t="s">
        <v>418</v>
      </c>
      <c r="N3706" t="str">
        <f>"248030301826"</f>
        <v>248030301826</v>
      </c>
      <c r="O3706" t="str">
        <f>"460003200309164443"</f>
        <v>460003200309164443</v>
      </c>
    </row>
    <row r="3707" customFormat="1" spans="1:15">
      <c r="A3707">
        <v>4861</v>
      </c>
      <c r="B3707" t="s">
        <v>4223</v>
      </c>
      <c r="C3707" t="str">
        <f>"460004199701316422"</f>
        <v>460004199701316422</v>
      </c>
      <c r="D3707" t="str">
        <f>"248030203918"</f>
        <v>248030203918</v>
      </c>
      <c r="L3707">
        <v>4861</v>
      </c>
      <c r="M3707" t="s">
        <v>4223</v>
      </c>
      <c r="N3707" t="str">
        <f>"248030203918"</f>
        <v>248030203918</v>
      </c>
      <c r="O3707" t="str">
        <f>"460004199701316422"</f>
        <v>460004199701316422</v>
      </c>
    </row>
    <row r="3708" customFormat="1" spans="1:15">
      <c r="A3708">
        <v>4862</v>
      </c>
      <c r="B3708" t="s">
        <v>4224</v>
      </c>
      <c r="C3708" t="str">
        <f>"460104199211161224"</f>
        <v>460104199211161224</v>
      </c>
      <c r="D3708" t="str">
        <f>"248030104116"</f>
        <v>248030104116</v>
      </c>
      <c r="L3708">
        <v>4862</v>
      </c>
      <c r="M3708" t="s">
        <v>4224</v>
      </c>
      <c r="N3708" t="str">
        <f>"248030104116"</f>
        <v>248030104116</v>
      </c>
      <c r="O3708" t="str">
        <f>"460104199211161224"</f>
        <v>460104199211161224</v>
      </c>
    </row>
    <row r="3709" customFormat="1" spans="1:15">
      <c r="A3709">
        <v>4864</v>
      </c>
      <c r="B3709" t="s">
        <v>4225</v>
      </c>
      <c r="C3709" t="str">
        <f>"460034199405144724"</f>
        <v>460034199405144724</v>
      </c>
      <c r="D3709" t="str">
        <f>"248030104219"</f>
        <v>248030104219</v>
      </c>
      <c r="L3709">
        <v>4864</v>
      </c>
      <c r="M3709" t="s">
        <v>4225</v>
      </c>
      <c r="N3709" t="str">
        <f>"248030104219"</f>
        <v>248030104219</v>
      </c>
      <c r="O3709" t="str">
        <f>"460034199405144724"</f>
        <v>460034199405144724</v>
      </c>
    </row>
    <row r="3710" customFormat="1" spans="1:15">
      <c r="A3710">
        <v>4865</v>
      </c>
      <c r="B3710" t="s">
        <v>4226</v>
      </c>
      <c r="C3710" t="str">
        <f>"460107199712083825"</f>
        <v>460107199712083825</v>
      </c>
      <c r="D3710" t="str">
        <f>"248030300229"</f>
        <v>248030300229</v>
      </c>
      <c r="L3710">
        <v>4865</v>
      </c>
      <c r="M3710" t="s">
        <v>4226</v>
      </c>
      <c r="N3710" t="str">
        <f>"248030300229"</f>
        <v>248030300229</v>
      </c>
      <c r="O3710" t="str">
        <f>"460107199712083825"</f>
        <v>460107199712083825</v>
      </c>
    </row>
    <row r="3711" customFormat="1" spans="1:15">
      <c r="A3711">
        <v>4866</v>
      </c>
      <c r="B3711" t="s">
        <v>4227</v>
      </c>
      <c r="C3711" t="str">
        <f>"460007199410127305"</f>
        <v>460007199410127305</v>
      </c>
      <c r="D3711" t="str">
        <f>"248030500513"</f>
        <v>248030500513</v>
      </c>
      <c r="L3711">
        <v>4866</v>
      </c>
      <c r="M3711" t="s">
        <v>4227</v>
      </c>
      <c r="N3711" t="str">
        <f>"248030500513"</f>
        <v>248030500513</v>
      </c>
      <c r="O3711" t="str">
        <f>"460007199410127305"</f>
        <v>460007199410127305</v>
      </c>
    </row>
    <row r="3712" customFormat="1" spans="1:15">
      <c r="A3712">
        <v>4867</v>
      </c>
      <c r="B3712" t="s">
        <v>4228</v>
      </c>
      <c r="C3712" t="str">
        <f>"460002199612043220"</f>
        <v>460002199612043220</v>
      </c>
      <c r="D3712" t="str">
        <f>"248030500818"</f>
        <v>248030500818</v>
      </c>
      <c r="L3712">
        <v>4867</v>
      </c>
      <c r="M3712" t="s">
        <v>4228</v>
      </c>
      <c r="N3712" t="str">
        <f>"248030500818"</f>
        <v>248030500818</v>
      </c>
      <c r="O3712" t="str">
        <f>"460002199612043220"</f>
        <v>460002199612043220</v>
      </c>
    </row>
    <row r="3713" customFormat="1" spans="1:15">
      <c r="A3713">
        <v>4868</v>
      </c>
      <c r="B3713" t="s">
        <v>4229</v>
      </c>
      <c r="C3713" t="str">
        <f>"620423199809251035"</f>
        <v>620423199809251035</v>
      </c>
      <c r="D3713" t="str">
        <f>"248030401101"</f>
        <v>248030401101</v>
      </c>
      <c r="L3713">
        <v>4868</v>
      </c>
      <c r="M3713" t="s">
        <v>4229</v>
      </c>
      <c r="N3713" t="str">
        <f>"248030401101"</f>
        <v>248030401101</v>
      </c>
      <c r="O3713" t="str">
        <f>"620423199809251035"</f>
        <v>620423199809251035</v>
      </c>
    </row>
    <row r="3714" customFormat="1" spans="1:15">
      <c r="A3714">
        <v>4869</v>
      </c>
      <c r="B3714" t="s">
        <v>805</v>
      </c>
      <c r="C3714" t="str">
        <f>"460103200104070625"</f>
        <v>460103200104070625</v>
      </c>
      <c r="D3714" t="str">
        <f>"248030400520"</f>
        <v>248030400520</v>
      </c>
      <c r="L3714">
        <v>4869</v>
      </c>
      <c r="M3714" t="s">
        <v>805</v>
      </c>
      <c r="N3714" t="str">
        <f>"248030400520"</f>
        <v>248030400520</v>
      </c>
      <c r="O3714" t="str">
        <f>"460103200104070625"</f>
        <v>460103200104070625</v>
      </c>
    </row>
    <row r="3715" customFormat="1" spans="1:15">
      <c r="A3715">
        <v>4871</v>
      </c>
      <c r="B3715" t="s">
        <v>4230</v>
      </c>
      <c r="C3715" t="str">
        <f>"460003199405080420"</f>
        <v>460003199405080420</v>
      </c>
      <c r="D3715" t="str">
        <f>"248030101213"</f>
        <v>248030101213</v>
      </c>
      <c r="L3715">
        <v>4871</v>
      </c>
      <c r="M3715" t="s">
        <v>4230</v>
      </c>
      <c r="N3715" t="str">
        <f>"248030101213"</f>
        <v>248030101213</v>
      </c>
      <c r="O3715" t="str">
        <f>"460003199405080420"</f>
        <v>460003199405080420</v>
      </c>
    </row>
    <row r="3716" customFormat="1" spans="1:15">
      <c r="A3716">
        <v>4872</v>
      </c>
      <c r="B3716" t="s">
        <v>63</v>
      </c>
      <c r="C3716" t="str">
        <f>"460030199512315124"</f>
        <v>460030199512315124</v>
      </c>
      <c r="D3716" t="str">
        <f>"248030301624"</f>
        <v>248030301624</v>
      </c>
      <c r="L3716">
        <v>4872</v>
      </c>
      <c r="M3716" t="s">
        <v>63</v>
      </c>
      <c r="N3716" t="str">
        <f>"248030301624"</f>
        <v>248030301624</v>
      </c>
      <c r="O3716" t="str">
        <f>"460030199512315124"</f>
        <v>460030199512315124</v>
      </c>
    </row>
    <row r="3717" customFormat="1" spans="1:15">
      <c r="A3717">
        <v>4873</v>
      </c>
      <c r="B3717" t="s">
        <v>4231</v>
      </c>
      <c r="C3717" t="str">
        <f>"410306199505140036"</f>
        <v>410306199505140036</v>
      </c>
      <c r="D3717" t="str">
        <f>"248030202013"</f>
        <v>248030202013</v>
      </c>
      <c r="L3717">
        <v>4873</v>
      </c>
      <c r="M3717" t="s">
        <v>4231</v>
      </c>
      <c r="N3717" t="str">
        <f>"248030202013"</f>
        <v>248030202013</v>
      </c>
      <c r="O3717" t="str">
        <f>"410306199505140036"</f>
        <v>410306199505140036</v>
      </c>
    </row>
    <row r="3718" customFormat="1" spans="1:15">
      <c r="A3718">
        <v>4874</v>
      </c>
      <c r="B3718" t="s">
        <v>4232</v>
      </c>
      <c r="C3718" t="str">
        <f>"460031199804144861"</f>
        <v>460031199804144861</v>
      </c>
      <c r="D3718" t="str">
        <f>"248030403510"</f>
        <v>248030403510</v>
      </c>
      <c r="L3718">
        <v>4874</v>
      </c>
      <c r="M3718" t="s">
        <v>4232</v>
      </c>
      <c r="N3718" t="str">
        <f>"248030403510"</f>
        <v>248030403510</v>
      </c>
      <c r="O3718" t="str">
        <f>"460031199804144861"</f>
        <v>460031199804144861</v>
      </c>
    </row>
    <row r="3719" customFormat="1" spans="1:15">
      <c r="A3719">
        <v>4876</v>
      </c>
      <c r="B3719" t="s">
        <v>4233</v>
      </c>
      <c r="C3719" t="str">
        <f>"150202200009144215"</f>
        <v>150202200009144215</v>
      </c>
      <c r="L3719">
        <v>4876</v>
      </c>
      <c r="M3719" t="s">
        <v>4233</v>
      </c>
      <c r="O3719" t="str">
        <f>"150202200009144215"</f>
        <v>150202200009144215</v>
      </c>
    </row>
    <row r="3720" customFormat="1" spans="1:15">
      <c r="A3720">
        <v>4877</v>
      </c>
      <c r="B3720" t="s">
        <v>4234</v>
      </c>
      <c r="C3720" t="str">
        <f>"532126199711201323"</f>
        <v>532126199711201323</v>
      </c>
      <c r="D3720" t="str">
        <f>"248030101515"</f>
        <v>248030101515</v>
      </c>
      <c r="L3720">
        <v>4877</v>
      </c>
      <c r="M3720" t="s">
        <v>4234</v>
      </c>
      <c r="N3720" t="str">
        <f>"248030101515"</f>
        <v>248030101515</v>
      </c>
      <c r="O3720" t="str">
        <f>"532126199711201323"</f>
        <v>532126199711201323</v>
      </c>
    </row>
    <row r="3721" customFormat="1" spans="1:15">
      <c r="A3721">
        <v>4878</v>
      </c>
      <c r="B3721" t="s">
        <v>4235</v>
      </c>
      <c r="C3721" t="str">
        <f>"460033199801083584"</f>
        <v>460033199801083584</v>
      </c>
      <c r="D3721" t="str">
        <f>"248030101907"</f>
        <v>248030101907</v>
      </c>
      <c r="L3721">
        <v>4878</v>
      </c>
      <c r="M3721" t="s">
        <v>4235</v>
      </c>
      <c r="N3721" t="str">
        <f>"248030101907"</f>
        <v>248030101907</v>
      </c>
      <c r="O3721" t="str">
        <f>"460033199801083584"</f>
        <v>460033199801083584</v>
      </c>
    </row>
    <row r="3722" customFormat="1" spans="1:15">
      <c r="A3722">
        <v>4879</v>
      </c>
      <c r="B3722" t="s">
        <v>4236</v>
      </c>
      <c r="C3722" t="str">
        <f>"460033200105285081"</f>
        <v>460033200105285081</v>
      </c>
      <c r="D3722" t="str">
        <f>"248030503813"</f>
        <v>248030503813</v>
      </c>
      <c r="L3722">
        <v>4879</v>
      </c>
      <c r="M3722" t="s">
        <v>4236</v>
      </c>
      <c r="N3722" t="str">
        <f>"248030503813"</f>
        <v>248030503813</v>
      </c>
      <c r="O3722" t="str">
        <f>"460033200105285081"</f>
        <v>460033200105285081</v>
      </c>
    </row>
    <row r="3723" customFormat="1" spans="1:15">
      <c r="A3723">
        <v>4880</v>
      </c>
      <c r="B3723" t="s">
        <v>818</v>
      </c>
      <c r="C3723" t="str">
        <f>"460102199706150911"</f>
        <v>460102199706150911</v>
      </c>
      <c r="D3723" t="str">
        <f>"248030502721"</f>
        <v>248030502721</v>
      </c>
      <c r="L3723">
        <v>4880</v>
      </c>
      <c r="M3723" t="s">
        <v>818</v>
      </c>
      <c r="N3723" t="str">
        <f>"248030502721"</f>
        <v>248030502721</v>
      </c>
      <c r="O3723" t="str">
        <f>"460102199706150911"</f>
        <v>460102199706150911</v>
      </c>
    </row>
    <row r="3724" customFormat="1" spans="1:15">
      <c r="A3724">
        <v>4881</v>
      </c>
      <c r="B3724" t="s">
        <v>2716</v>
      </c>
      <c r="C3724" t="str">
        <f>"46002719950709762X"</f>
        <v>46002719950709762X</v>
      </c>
      <c r="L3724">
        <v>4881</v>
      </c>
      <c r="M3724" t="s">
        <v>2716</v>
      </c>
      <c r="O3724" t="str">
        <f>"46002719950709762X"</f>
        <v>46002719950709762X</v>
      </c>
    </row>
    <row r="3725" customFormat="1" spans="1:15">
      <c r="A3725">
        <v>4882</v>
      </c>
      <c r="B3725" t="s">
        <v>4237</v>
      </c>
      <c r="C3725" t="str">
        <f>"469021199511032722"</f>
        <v>469021199511032722</v>
      </c>
      <c r="L3725">
        <v>4882</v>
      </c>
      <c r="M3725" t="s">
        <v>4237</v>
      </c>
      <c r="O3725" t="str">
        <f>"469021199511032722"</f>
        <v>469021199511032722</v>
      </c>
    </row>
    <row r="3726" customFormat="1" spans="1:15">
      <c r="A3726">
        <v>4883</v>
      </c>
      <c r="B3726" t="s">
        <v>125</v>
      </c>
      <c r="C3726" t="str">
        <f>"460005199710083225"</f>
        <v>460005199710083225</v>
      </c>
      <c r="D3726" t="str">
        <f>"248030102107"</f>
        <v>248030102107</v>
      </c>
      <c r="L3726">
        <v>4883</v>
      </c>
      <c r="M3726" t="s">
        <v>125</v>
      </c>
      <c r="N3726" t="str">
        <f>"248030102107"</f>
        <v>248030102107</v>
      </c>
      <c r="O3726" t="str">
        <f>"460005199710083225"</f>
        <v>460005199710083225</v>
      </c>
    </row>
    <row r="3727" customFormat="1" spans="1:15">
      <c r="A3727">
        <v>4884</v>
      </c>
      <c r="B3727" t="s">
        <v>4238</v>
      </c>
      <c r="C3727" t="str">
        <f>"460004199606071228"</f>
        <v>460004199606071228</v>
      </c>
      <c r="D3727" t="str">
        <f>"248030403210"</f>
        <v>248030403210</v>
      </c>
      <c r="L3727">
        <v>4884</v>
      </c>
      <c r="M3727" t="s">
        <v>4238</v>
      </c>
      <c r="N3727" t="str">
        <f>"248030403210"</f>
        <v>248030403210</v>
      </c>
      <c r="O3727" t="str">
        <f>"460004199606071228"</f>
        <v>460004199606071228</v>
      </c>
    </row>
    <row r="3728" customFormat="1" spans="1:15">
      <c r="A3728">
        <v>4885</v>
      </c>
      <c r="B3728" t="s">
        <v>4239</v>
      </c>
      <c r="C3728" t="str">
        <f>"460103200008070326"</f>
        <v>460103200008070326</v>
      </c>
      <c r="D3728" t="str">
        <f>"248030104014"</f>
        <v>248030104014</v>
      </c>
      <c r="L3728">
        <v>4885</v>
      </c>
      <c r="M3728" t="s">
        <v>4239</v>
      </c>
      <c r="N3728" t="str">
        <f>"248030104014"</f>
        <v>248030104014</v>
      </c>
      <c r="O3728" t="str">
        <f>"460103200008070326"</f>
        <v>460103200008070326</v>
      </c>
    </row>
    <row r="3729" customFormat="1" spans="1:15">
      <c r="A3729">
        <v>4886</v>
      </c>
      <c r="B3729" t="s">
        <v>4240</v>
      </c>
      <c r="C3729" t="str">
        <f>"460033200203243213"</f>
        <v>460033200203243213</v>
      </c>
      <c r="D3729" t="str">
        <f>"248030401027"</f>
        <v>248030401027</v>
      </c>
      <c r="L3729">
        <v>4886</v>
      </c>
      <c r="M3729" t="s">
        <v>4240</v>
      </c>
      <c r="N3729" t="str">
        <f>"248030401027"</f>
        <v>248030401027</v>
      </c>
      <c r="O3729" t="str">
        <f>"460033200203243213"</f>
        <v>460033200203243213</v>
      </c>
    </row>
    <row r="3730" customFormat="1" spans="1:15">
      <c r="A3730">
        <v>4887</v>
      </c>
      <c r="B3730" t="s">
        <v>4241</v>
      </c>
      <c r="C3730" t="str">
        <f>"469022200011010326"</f>
        <v>469022200011010326</v>
      </c>
      <c r="D3730" t="str">
        <f>"248030203019"</f>
        <v>248030203019</v>
      </c>
      <c r="L3730">
        <v>4887</v>
      </c>
      <c r="M3730" t="s">
        <v>4241</v>
      </c>
      <c r="N3730" t="str">
        <f>"248030203019"</f>
        <v>248030203019</v>
      </c>
      <c r="O3730" t="str">
        <f>"469022200011010326"</f>
        <v>469022200011010326</v>
      </c>
    </row>
    <row r="3731" customFormat="1" spans="1:15">
      <c r="A3731">
        <v>4888</v>
      </c>
      <c r="B3731" t="s">
        <v>4242</v>
      </c>
      <c r="C3731" t="str">
        <f>"460027199109170027"</f>
        <v>460027199109170027</v>
      </c>
      <c r="D3731" t="str">
        <f>"248030104018"</f>
        <v>248030104018</v>
      </c>
      <c r="L3731">
        <v>4888</v>
      </c>
      <c r="M3731" t="s">
        <v>4242</v>
      </c>
      <c r="N3731" t="str">
        <f>"248030104018"</f>
        <v>248030104018</v>
      </c>
      <c r="O3731" t="str">
        <f>"460027199109170027"</f>
        <v>460027199109170027</v>
      </c>
    </row>
    <row r="3732" customFormat="1" spans="1:15">
      <c r="A3732">
        <v>4889</v>
      </c>
      <c r="B3732" t="s">
        <v>4243</v>
      </c>
      <c r="C3732" t="str">
        <f>"46002720020429172X"</f>
        <v>46002720020429172X</v>
      </c>
      <c r="D3732" t="str">
        <f>"248030101912"</f>
        <v>248030101912</v>
      </c>
      <c r="L3732">
        <v>4889</v>
      </c>
      <c r="M3732" t="s">
        <v>4243</v>
      </c>
      <c r="N3732" t="str">
        <f>"248030101912"</f>
        <v>248030101912</v>
      </c>
      <c r="O3732" t="str">
        <f>"46002720020429172X"</f>
        <v>46002720020429172X</v>
      </c>
    </row>
    <row r="3733" customFormat="1" spans="1:15">
      <c r="A3733">
        <v>4890</v>
      </c>
      <c r="B3733" t="s">
        <v>4244</v>
      </c>
      <c r="C3733" t="str">
        <f>"469003199902252789"</f>
        <v>469003199902252789</v>
      </c>
      <c r="L3733">
        <v>4890</v>
      </c>
      <c r="M3733" t="s">
        <v>4244</v>
      </c>
      <c r="O3733" t="str">
        <f>"469003199902252789"</f>
        <v>469003199902252789</v>
      </c>
    </row>
    <row r="3734" customFormat="1" spans="1:15">
      <c r="A3734">
        <v>4891</v>
      </c>
      <c r="B3734" t="s">
        <v>822</v>
      </c>
      <c r="C3734" t="str">
        <f>"460002200011031529"</f>
        <v>460002200011031529</v>
      </c>
      <c r="D3734" t="str">
        <f>"248030102719"</f>
        <v>248030102719</v>
      </c>
      <c r="L3734">
        <v>4891</v>
      </c>
      <c r="M3734" t="s">
        <v>822</v>
      </c>
      <c r="N3734" t="str">
        <f>"248030102719"</f>
        <v>248030102719</v>
      </c>
      <c r="O3734" t="str">
        <f>"460002200011031529"</f>
        <v>460002200011031529</v>
      </c>
    </row>
    <row r="3735" customFormat="1" spans="1:15">
      <c r="A3735">
        <v>4892</v>
      </c>
      <c r="B3735" t="s">
        <v>4245</v>
      </c>
      <c r="C3735" t="str">
        <f>"460027199306044126"</f>
        <v>460027199306044126</v>
      </c>
      <c r="D3735" t="str">
        <f>"248030200912"</f>
        <v>248030200912</v>
      </c>
      <c r="L3735">
        <v>4892</v>
      </c>
      <c r="M3735" t="s">
        <v>4245</v>
      </c>
      <c r="N3735" t="str">
        <f>"248030200912"</f>
        <v>248030200912</v>
      </c>
      <c r="O3735" t="str">
        <f>"460027199306044126"</f>
        <v>460027199306044126</v>
      </c>
    </row>
    <row r="3736" customFormat="1" spans="1:15">
      <c r="A3736">
        <v>4893</v>
      </c>
      <c r="B3736" t="s">
        <v>4246</v>
      </c>
      <c r="C3736" t="str">
        <f>"460004200208091229"</f>
        <v>460004200208091229</v>
      </c>
      <c r="D3736" t="str">
        <f>"248030502623"</f>
        <v>248030502623</v>
      </c>
      <c r="L3736">
        <v>4893</v>
      </c>
      <c r="M3736" t="s">
        <v>4246</v>
      </c>
      <c r="N3736" t="str">
        <f>"248030502623"</f>
        <v>248030502623</v>
      </c>
      <c r="O3736" t="str">
        <f>"460004200208091229"</f>
        <v>460004200208091229</v>
      </c>
    </row>
    <row r="3737" customFormat="1" spans="1:15">
      <c r="A3737">
        <v>4894</v>
      </c>
      <c r="B3737" t="s">
        <v>796</v>
      </c>
      <c r="C3737" t="str">
        <f>"460102199501280042"</f>
        <v>460102199501280042</v>
      </c>
      <c r="D3737" t="str">
        <f>"248030103323"</f>
        <v>248030103323</v>
      </c>
      <c r="L3737">
        <v>4894</v>
      </c>
      <c r="M3737" t="s">
        <v>796</v>
      </c>
      <c r="N3737" t="str">
        <f>"248030103323"</f>
        <v>248030103323</v>
      </c>
      <c r="O3737" t="str">
        <f>"460102199501280042"</f>
        <v>460102199501280042</v>
      </c>
    </row>
    <row r="3738" customFormat="1" spans="1:15">
      <c r="A3738">
        <v>4895</v>
      </c>
      <c r="B3738" t="s">
        <v>4247</v>
      </c>
      <c r="C3738" t="str">
        <f>"460022199410107025"</f>
        <v>460022199410107025</v>
      </c>
      <c r="L3738">
        <v>4895</v>
      </c>
      <c r="M3738" t="s">
        <v>4247</v>
      </c>
      <c r="O3738" t="str">
        <f>"460022199410107025"</f>
        <v>460022199410107025</v>
      </c>
    </row>
    <row r="3739" customFormat="1" spans="1:15">
      <c r="A3739">
        <v>4896</v>
      </c>
      <c r="B3739" t="s">
        <v>4248</v>
      </c>
      <c r="C3739" t="str">
        <f>"140105199810093712"</f>
        <v>140105199810093712</v>
      </c>
      <c r="D3739" t="str">
        <f>"248030202223"</f>
        <v>248030202223</v>
      </c>
      <c r="L3739">
        <v>4896</v>
      </c>
      <c r="M3739" t="s">
        <v>4248</v>
      </c>
      <c r="N3739" t="str">
        <f>"248030202223"</f>
        <v>248030202223</v>
      </c>
      <c r="O3739" t="str">
        <f>"140105199810093712"</f>
        <v>140105199810093712</v>
      </c>
    </row>
    <row r="3740" customFormat="1" spans="1:15">
      <c r="A3740">
        <v>4897</v>
      </c>
      <c r="B3740" t="s">
        <v>4249</v>
      </c>
      <c r="C3740" t="str">
        <f>"452131199709231225"</f>
        <v>452131199709231225</v>
      </c>
      <c r="L3740">
        <v>4897</v>
      </c>
      <c r="M3740" t="s">
        <v>4249</v>
      </c>
      <c r="O3740" t="str">
        <f>"452131199709231225"</f>
        <v>452131199709231225</v>
      </c>
    </row>
    <row r="3741" customFormat="1" spans="1:15">
      <c r="A3741">
        <v>4898</v>
      </c>
      <c r="B3741" t="s">
        <v>39</v>
      </c>
      <c r="C3741" t="str">
        <f>"13018319980809086X"</f>
        <v>13018319980809086X</v>
      </c>
      <c r="D3741" t="str">
        <f>"248030400903"</f>
        <v>248030400903</v>
      </c>
      <c r="L3741">
        <v>4898</v>
      </c>
      <c r="M3741" t="s">
        <v>39</v>
      </c>
      <c r="N3741" t="str">
        <f>"248030400903"</f>
        <v>248030400903</v>
      </c>
      <c r="O3741" t="str">
        <f>"13018319980809086X"</f>
        <v>13018319980809086X</v>
      </c>
    </row>
    <row r="3742" customFormat="1" spans="1:15">
      <c r="A3742">
        <v>4900</v>
      </c>
      <c r="B3742" t="s">
        <v>4250</v>
      </c>
      <c r="C3742" t="str">
        <f>"411402199808180562"</f>
        <v>411402199808180562</v>
      </c>
      <c r="D3742" t="str">
        <f>"248030100704"</f>
        <v>248030100704</v>
      </c>
      <c r="L3742">
        <v>4900</v>
      </c>
      <c r="M3742" t="s">
        <v>4250</v>
      </c>
      <c r="N3742" t="str">
        <f>"248030100704"</f>
        <v>248030100704</v>
      </c>
      <c r="O3742" t="str">
        <f>"411402199808180562"</f>
        <v>411402199808180562</v>
      </c>
    </row>
    <row r="3743" customFormat="1" spans="1:15">
      <c r="A3743">
        <v>4901</v>
      </c>
      <c r="B3743" t="s">
        <v>4251</v>
      </c>
      <c r="C3743" t="str">
        <f>"513401200005187626"</f>
        <v>513401200005187626</v>
      </c>
      <c r="D3743" t="str">
        <f>"248030103202"</f>
        <v>248030103202</v>
      </c>
      <c r="L3743">
        <v>4901</v>
      </c>
      <c r="M3743" t="s">
        <v>4251</v>
      </c>
      <c r="N3743" t="str">
        <f>"248030103202"</f>
        <v>248030103202</v>
      </c>
      <c r="O3743" t="str">
        <f>"513401200005187626"</f>
        <v>513401200005187626</v>
      </c>
    </row>
    <row r="3744" customFormat="1" spans="1:15">
      <c r="A3744">
        <v>4902</v>
      </c>
      <c r="B3744" t="s">
        <v>4252</v>
      </c>
      <c r="C3744" t="str">
        <f>"46000319990416301X"</f>
        <v>46000319990416301X</v>
      </c>
      <c r="L3744">
        <v>4902</v>
      </c>
      <c r="M3744" t="s">
        <v>4252</v>
      </c>
      <c r="O3744" t="str">
        <f>"46000319990416301X"</f>
        <v>46000319990416301X</v>
      </c>
    </row>
    <row r="3745" customFormat="1" spans="1:15">
      <c r="A3745">
        <v>4903</v>
      </c>
      <c r="B3745" t="s">
        <v>4253</v>
      </c>
      <c r="C3745" t="str">
        <f>"460003200010075630"</f>
        <v>460003200010075630</v>
      </c>
      <c r="D3745" t="str">
        <f>"248030300216"</f>
        <v>248030300216</v>
      </c>
      <c r="L3745">
        <v>4903</v>
      </c>
      <c r="M3745" t="s">
        <v>4253</v>
      </c>
      <c r="N3745" t="str">
        <f>"248030300216"</f>
        <v>248030300216</v>
      </c>
      <c r="O3745" t="str">
        <f>"460003200010075630"</f>
        <v>460003200010075630</v>
      </c>
    </row>
    <row r="3746" customFormat="1" spans="1:15">
      <c r="A3746">
        <v>4904</v>
      </c>
      <c r="B3746" t="s">
        <v>4254</v>
      </c>
      <c r="C3746" t="str">
        <f>"460002200006030337"</f>
        <v>460002200006030337</v>
      </c>
      <c r="D3746" t="str">
        <f>"248030202309"</f>
        <v>248030202309</v>
      </c>
      <c r="L3746">
        <v>4904</v>
      </c>
      <c r="M3746" t="s">
        <v>4254</v>
      </c>
      <c r="N3746" t="str">
        <f>"248030202309"</f>
        <v>248030202309</v>
      </c>
      <c r="O3746" t="str">
        <f>"460002200006030337"</f>
        <v>460002200006030337</v>
      </c>
    </row>
    <row r="3747" customFormat="1" spans="1:15">
      <c r="A3747">
        <v>4906</v>
      </c>
      <c r="B3747" t="s">
        <v>4255</v>
      </c>
      <c r="C3747" t="str">
        <f>"460027199411015925"</f>
        <v>460027199411015925</v>
      </c>
      <c r="L3747">
        <v>4906</v>
      </c>
      <c r="M3747" t="s">
        <v>4255</v>
      </c>
      <c r="O3747" t="str">
        <f>"460027199411015925"</f>
        <v>460027199411015925</v>
      </c>
    </row>
    <row r="3748" customFormat="1" spans="1:15">
      <c r="A3748">
        <v>4907</v>
      </c>
      <c r="B3748" t="s">
        <v>4256</v>
      </c>
      <c r="C3748" t="str">
        <f>"460104198811170322"</f>
        <v>460104198811170322</v>
      </c>
      <c r="L3748">
        <v>4907</v>
      </c>
      <c r="M3748" t="s">
        <v>4256</v>
      </c>
      <c r="O3748" t="str">
        <f>"460104198811170322"</f>
        <v>460104198811170322</v>
      </c>
    </row>
    <row r="3749" customFormat="1" spans="1:15">
      <c r="A3749">
        <v>4908</v>
      </c>
      <c r="B3749" t="s">
        <v>4257</v>
      </c>
      <c r="C3749" t="str">
        <f>"460004199510203425"</f>
        <v>460004199510203425</v>
      </c>
      <c r="D3749" t="str">
        <f>"248030404218"</f>
        <v>248030404218</v>
      </c>
      <c r="L3749">
        <v>4908</v>
      </c>
      <c r="M3749" t="s">
        <v>4257</v>
      </c>
      <c r="N3749" t="str">
        <f>"248030404218"</f>
        <v>248030404218</v>
      </c>
      <c r="O3749" t="str">
        <f>"460004199510203425"</f>
        <v>460004199510203425</v>
      </c>
    </row>
    <row r="3750" customFormat="1" spans="1:15">
      <c r="A3750">
        <v>4909</v>
      </c>
      <c r="B3750" t="s">
        <v>4258</v>
      </c>
      <c r="C3750" t="str">
        <f>"460004199710304060"</f>
        <v>460004199710304060</v>
      </c>
      <c r="D3750" t="str">
        <f>"248030501528"</f>
        <v>248030501528</v>
      </c>
      <c r="L3750">
        <v>4909</v>
      </c>
      <c r="M3750" t="s">
        <v>4258</v>
      </c>
      <c r="N3750" t="str">
        <f>"248030501528"</f>
        <v>248030501528</v>
      </c>
      <c r="O3750" t="str">
        <f>"460004199710304060"</f>
        <v>460004199710304060</v>
      </c>
    </row>
    <row r="3751" customFormat="1" spans="1:15">
      <c r="A3751">
        <v>4910</v>
      </c>
      <c r="B3751" t="s">
        <v>4259</v>
      </c>
      <c r="C3751" t="str">
        <f>"460004199607260629"</f>
        <v>460004199607260629</v>
      </c>
      <c r="D3751" t="str">
        <f>"248030400202"</f>
        <v>248030400202</v>
      </c>
      <c r="L3751">
        <v>4910</v>
      </c>
      <c r="M3751" t="s">
        <v>4259</v>
      </c>
      <c r="N3751" t="str">
        <f>"248030400202"</f>
        <v>248030400202</v>
      </c>
      <c r="O3751" t="str">
        <f>"460004199607260629"</f>
        <v>460004199607260629</v>
      </c>
    </row>
    <row r="3752" customFormat="1" spans="1:15">
      <c r="A3752">
        <v>4911</v>
      </c>
      <c r="B3752" t="s">
        <v>4260</v>
      </c>
      <c r="C3752" t="str">
        <f>"460006199407268119"</f>
        <v>460006199407268119</v>
      </c>
      <c r="L3752">
        <v>4911</v>
      </c>
      <c r="M3752" t="s">
        <v>4260</v>
      </c>
      <c r="O3752" t="str">
        <f>"460006199407268119"</f>
        <v>460006199407268119</v>
      </c>
    </row>
    <row r="3753" customFormat="1" spans="1:15">
      <c r="A3753">
        <v>4912</v>
      </c>
      <c r="B3753" t="s">
        <v>4261</v>
      </c>
      <c r="C3753" t="str">
        <f>"460027200202234422"</f>
        <v>460027200202234422</v>
      </c>
      <c r="D3753" t="str">
        <f>"248030402724"</f>
        <v>248030402724</v>
      </c>
      <c r="L3753">
        <v>4912</v>
      </c>
      <c r="M3753" t="s">
        <v>4261</v>
      </c>
      <c r="N3753" t="str">
        <f>"248030402724"</f>
        <v>248030402724</v>
      </c>
      <c r="O3753" t="str">
        <f>"460027200202234422"</f>
        <v>460027200202234422</v>
      </c>
    </row>
    <row r="3754" customFormat="1" spans="1:15">
      <c r="A3754">
        <v>4913</v>
      </c>
      <c r="B3754" t="s">
        <v>4262</v>
      </c>
      <c r="C3754" t="str">
        <f>"460031199903065229"</f>
        <v>460031199903065229</v>
      </c>
      <c r="D3754" t="str">
        <f>"248030501618"</f>
        <v>248030501618</v>
      </c>
      <c r="L3754">
        <v>4913</v>
      </c>
      <c r="M3754" t="s">
        <v>4262</v>
      </c>
      <c r="N3754" t="str">
        <f>"248030501618"</f>
        <v>248030501618</v>
      </c>
      <c r="O3754" t="str">
        <f>"460031199903065229"</f>
        <v>460031199903065229</v>
      </c>
    </row>
    <row r="3755" customFormat="1" spans="1:15">
      <c r="A3755">
        <v>4914</v>
      </c>
      <c r="B3755" t="s">
        <v>4263</v>
      </c>
      <c r="C3755" t="str">
        <f>"46000119910416074X"</f>
        <v>46000119910416074X</v>
      </c>
      <c r="L3755">
        <v>4914</v>
      </c>
      <c r="M3755" t="s">
        <v>4263</v>
      </c>
      <c r="O3755" t="str">
        <f>"46000119910416074X"</f>
        <v>46000119910416074X</v>
      </c>
    </row>
    <row r="3756" customFormat="1" spans="1:15">
      <c r="A3756">
        <v>4915</v>
      </c>
      <c r="B3756" t="s">
        <v>4264</v>
      </c>
      <c r="C3756" t="str">
        <f>"46000219980911562X"</f>
        <v>46000219980911562X</v>
      </c>
      <c r="D3756" t="str">
        <f>"248030403819"</f>
        <v>248030403819</v>
      </c>
      <c r="L3756">
        <v>4915</v>
      </c>
      <c r="M3756" t="s">
        <v>4264</v>
      </c>
      <c r="N3756" t="str">
        <f>"248030403819"</f>
        <v>248030403819</v>
      </c>
      <c r="O3756" t="str">
        <f>"46000219980911562X"</f>
        <v>46000219980911562X</v>
      </c>
    </row>
    <row r="3757" customFormat="1" spans="1:15">
      <c r="A3757">
        <v>4916</v>
      </c>
      <c r="B3757" t="s">
        <v>2076</v>
      </c>
      <c r="C3757" t="str">
        <f>"460028199705270020"</f>
        <v>460028199705270020</v>
      </c>
      <c r="D3757" t="str">
        <f>"248030403923"</f>
        <v>248030403923</v>
      </c>
      <c r="L3757">
        <v>4916</v>
      </c>
      <c r="M3757" t="s">
        <v>2076</v>
      </c>
      <c r="N3757" t="str">
        <f>"248030403923"</f>
        <v>248030403923</v>
      </c>
      <c r="O3757" t="str">
        <f>"460028199705270020"</f>
        <v>460028199705270020</v>
      </c>
    </row>
    <row r="3758" customFormat="1" spans="1:15">
      <c r="A3758">
        <v>4917</v>
      </c>
      <c r="B3758" t="s">
        <v>4265</v>
      </c>
      <c r="C3758" t="str">
        <f>"460028200201155622"</f>
        <v>460028200201155622</v>
      </c>
      <c r="D3758" t="str">
        <f>"248030302626"</f>
        <v>248030302626</v>
      </c>
      <c r="L3758">
        <v>4917</v>
      </c>
      <c r="M3758" t="s">
        <v>4265</v>
      </c>
      <c r="N3758" t="str">
        <f>"248030302626"</f>
        <v>248030302626</v>
      </c>
      <c r="O3758" t="str">
        <f>"460028200201155622"</f>
        <v>460028200201155622</v>
      </c>
    </row>
    <row r="3759" customFormat="1" spans="1:15">
      <c r="A3759">
        <v>4920</v>
      </c>
      <c r="B3759" t="s">
        <v>4266</v>
      </c>
      <c r="C3759" t="str">
        <f>"469021200105253015"</f>
        <v>469021200105253015</v>
      </c>
      <c r="D3759" t="str">
        <f>"248030400505"</f>
        <v>248030400505</v>
      </c>
      <c r="L3759">
        <v>4920</v>
      </c>
      <c r="M3759" t="s">
        <v>4266</v>
      </c>
      <c r="N3759" t="str">
        <f>"248030400505"</f>
        <v>248030400505</v>
      </c>
      <c r="O3759" t="str">
        <f>"469021200105253015"</f>
        <v>469021200105253015</v>
      </c>
    </row>
    <row r="3760" customFormat="1" spans="1:15">
      <c r="A3760">
        <v>4921</v>
      </c>
      <c r="B3760" t="s">
        <v>4267</v>
      </c>
      <c r="C3760" t="str">
        <f>"460004199604153625"</f>
        <v>460004199604153625</v>
      </c>
      <c r="D3760" t="str">
        <f>"248030300929"</f>
        <v>248030300929</v>
      </c>
      <c r="L3760">
        <v>4921</v>
      </c>
      <c r="M3760" t="s">
        <v>4267</v>
      </c>
      <c r="N3760" t="str">
        <f>"248030300929"</f>
        <v>248030300929</v>
      </c>
      <c r="O3760" t="str">
        <f>"460004199604153625"</f>
        <v>460004199604153625</v>
      </c>
    </row>
    <row r="3761" customFormat="1" spans="1:15">
      <c r="A3761">
        <v>4924</v>
      </c>
      <c r="B3761" t="s">
        <v>4268</v>
      </c>
      <c r="C3761" t="str">
        <f>"460003199205156646"</f>
        <v>460003199205156646</v>
      </c>
      <c r="D3761" t="str">
        <f>"248030403005"</f>
        <v>248030403005</v>
      </c>
      <c r="L3761">
        <v>4924</v>
      </c>
      <c r="M3761" t="s">
        <v>4268</v>
      </c>
      <c r="N3761" t="str">
        <f>"248030403005"</f>
        <v>248030403005</v>
      </c>
      <c r="O3761" t="str">
        <f>"460003199205156646"</f>
        <v>460003199205156646</v>
      </c>
    </row>
    <row r="3762" customFormat="1" spans="1:15">
      <c r="A3762">
        <v>4926</v>
      </c>
      <c r="B3762" t="s">
        <v>4269</v>
      </c>
      <c r="C3762" t="str">
        <f>"460200199807055123"</f>
        <v>460200199807055123</v>
      </c>
      <c r="D3762" t="str">
        <f>"248030101923"</f>
        <v>248030101923</v>
      </c>
      <c r="L3762">
        <v>4926</v>
      </c>
      <c r="M3762" t="s">
        <v>4269</v>
      </c>
      <c r="N3762" t="str">
        <f>"248030101923"</f>
        <v>248030101923</v>
      </c>
      <c r="O3762" t="str">
        <f>"460200199807055123"</f>
        <v>460200199807055123</v>
      </c>
    </row>
    <row r="3763" customFormat="1" spans="1:15">
      <c r="A3763">
        <v>4927</v>
      </c>
      <c r="B3763" t="s">
        <v>4270</v>
      </c>
      <c r="C3763" t="str">
        <f>"460036200205074125"</f>
        <v>460036200205074125</v>
      </c>
      <c r="D3763" t="str">
        <f>"248030401622"</f>
        <v>248030401622</v>
      </c>
      <c r="L3763">
        <v>4927</v>
      </c>
      <c r="M3763" t="s">
        <v>4270</v>
      </c>
      <c r="N3763" t="str">
        <f>"248030401622"</f>
        <v>248030401622</v>
      </c>
      <c r="O3763" t="str">
        <f>"460036200205074125"</f>
        <v>460036200205074125</v>
      </c>
    </row>
    <row r="3764" customFormat="1" spans="1:15">
      <c r="A3764">
        <v>4928</v>
      </c>
      <c r="B3764" t="s">
        <v>1260</v>
      </c>
      <c r="C3764" t="str">
        <f>"511622199902179429"</f>
        <v>511622199902179429</v>
      </c>
      <c r="D3764" t="str">
        <f>"248030401202"</f>
        <v>248030401202</v>
      </c>
      <c r="L3764">
        <v>4928</v>
      </c>
      <c r="M3764" t="s">
        <v>1260</v>
      </c>
      <c r="N3764" t="str">
        <f>"248030401202"</f>
        <v>248030401202</v>
      </c>
      <c r="O3764" t="str">
        <f>"511622199902179429"</f>
        <v>511622199902179429</v>
      </c>
    </row>
    <row r="3765" customFormat="1" spans="1:15">
      <c r="A3765">
        <v>4929</v>
      </c>
      <c r="B3765" t="s">
        <v>4271</v>
      </c>
      <c r="C3765" t="str">
        <f>"460027199403222924"</f>
        <v>460027199403222924</v>
      </c>
      <c r="D3765" t="str">
        <f>"248030504215"</f>
        <v>248030504215</v>
      </c>
      <c r="L3765">
        <v>4929</v>
      </c>
      <c r="M3765" t="s">
        <v>4271</v>
      </c>
      <c r="N3765" t="str">
        <f>"248030504215"</f>
        <v>248030504215</v>
      </c>
      <c r="O3765" t="str">
        <f>"460027199403222924"</f>
        <v>460027199403222924</v>
      </c>
    </row>
    <row r="3766" customFormat="1" spans="1:15">
      <c r="A3766">
        <v>4930</v>
      </c>
      <c r="B3766" t="s">
        <v>4272</v>
      </c>
      <c r="C3766" t="str">
        <f>"412723199209066425"</f>
        <v>412723199209066425</v>
      </c>
      <c r="D3766" t="str">
        <f>"248030403111"</f>
        <v>248030403111</v>
      </c>
      <c r="L3766">
        <v>4930</v>
      </c>
      <c r="M3766" t="s">
        <v>4272</v>
      </c>
      <c r="N3766" t="str">
        <f>"248030403111"</f>
        <v>248030403111</v>
      </c>
      <c r="O3766" t="str">
        <f>"412723199209066425"</f>
        <v>412723199209066425</v>
      </c>
    </row>
    <row r="3767" customFormat="1" spans="1:15">
      <c r="A3767">
        <v>4932</v>
      </c>
      <c r="B3767" t="s">
        <v>4273</v>
      </c>
      <c r="C3767" t="str">
        <f>"460022198610303720"</f>
        <v>460022198610303720</v>
      </c>
      <c r="D3767" t="str">
        <f>"248030302020"</f>
        <v>248030302020</v>
      </c>
      <c r="L3767">
        <v>4932</v>
      </c>
      <c r="M3767" t="s">
        <v>4273</v>
      </c>
      <c r="N3767" t="str">
        <f>"248030302020"</f>
        <v>248030302020</v>
      </c>
      <c r="O3767" t="str">
        <f>"460022198610303720"</f>
        <v>460022198610303720</v>
      </c>
    </row>
    <row r="3768" customFormat="1" spans="1:15">
      <c r="A3768">
        <v>4933</v>
      </c>
      <c r="B3768" t="s">
        <v>4274</v>
      </c>
      <c r="C3768" t="str">
        <f>"460104199812070029"</f>
        <v>460104199812070029</v>
      </c>
      <c r="D3768" t="str">
        <f>"248030102702"</f>
        <v>248030102702</v>
      </c>
      <c r="L3768">
        <v>4933</v>
      </c>
      <c r="M3768" t="s">
        <v>4274</v>
      </c>
      <c r="N3768" t="str">
        <f>"248030102702"</f>
        <v>248030102702</v>
      </c>
      <c r="O3768" t="str">
        <f>"460104199812070029"</f>
        <v>460104199812070029</v>
      </c>
    </row>
    <row r="3769" customFormat="1" spans="1:15">
      <c r="A3769">
        <v>4934</v>
      </c>
      <c r="B3769" t="s">
        <v>4275</v>
      </c>
      <c r="C3769" t="str">
        <f>"460033199610224487"</f>
        <v>460033199610224487</v>
      </c>
      <c r="D3769" t="str">
        <f>"248030402611"</f>
        <v>248030402611</v>
      </c>
      <c r="L3769">
        <v>4934</v>
      </c>
      <c r="M3769" t="s">
        <v>4275</v>
      </c>
      <c r="N3769" t="str">
        <f>"248030402611"</f>
        <v>248030402611</v>
      </c>
      <c r="O3769" t="str">
        <f>"460033199610224487"</f>
        <v>460033199610224487</v>
      </c>
    </row>
    <row r="3770" customFormat="1" spans="1:15">
      <c r="A3770">
        <v>4935</v>
      </c>
      <c r="B3770" t="s">
        <v>4276</v>
      </c>
      <c r="C3770" t="str">
        <f>"460003199902042847"</f>
        <v>460003199902042847</v>
      </c>
      <c r="D3770" t="str">
        <f>"248030501306"</f>
        <v>248030501306</v>
      </c>
      <c r="L3770">
        <v>4935</v>
      </c>
      <c r="M3770" t="s">
        <v>4276</v>
      </c>
      <c r="N3770" t="str">
        <f>"248030501306"</f>
        <v>248030501306</v>
      </c>
      <c r="O3770" t="str">
        <f>"460003199902042847"</f>
        <v>460003199902042847</v>
      </c>
    </row>
    <row r="3771" customFormat="1" spans="1:15">
      <c r="A3771">
        <v>4936</v>
      </c>
      <c r="B3771" t="s">
        <v>4277</v>
      </c>
      <c r="C3771" t="str">
        <f>"460200200005010025"</f>
        <v>460200200005010025</v>
      </c>
      <c r="D3771" t="str">
        <f>"248030100430"</f>
        <v>248030100430</v>
      </c>
      <c r="L3771">
        <v>4936</v>
      </c>
      <c r="M3771" t="s">
        <v>4277</v>
      </c>
      <c r="N3771" t="str">
        <f>"248030100430"</f>
        <v>248030100430</v>
      </c>
      <c r="O3771" t="str">
        <f>"460200200005010025"</f>
        <v>460200200005010025</v>
      </c>
    </row>
    <row r="3772" customFormat="1" spans="1:15">
      <c r="A3772">
        <v>4937</v>
      </c>
      <c r="B3772" t="s">
        <v>93</v>
      </c>
      <c r="C3772" t="str">
        <f>"460004199611273422"</f>
        <v>460004199611273422</v>
      </c>
      <c r="D3772" t="str">
        <f>"248030501816"</f>
        <v>248030501816</v>
      </c>
      <c r="L3772">
        <v>4937</v>
      </c>
      <c r="M3772" t="s">
        <v>93</v>
      </c>
      <c r="N3772" t="str">
        <f>"248030501816"</f>
        <v>248030501816</v>
      </c>
      <c r="O3772" t="str">
        <f>"460004199611273422"</f>
        <v>460004199611273422</v>
      </c>
    </row>
    <row r="3773" customFormat="1" spans="1:15">
      <c r="A3773">
        <v>4938</v>
      </c>
      <c r="B3773" t="s">
        <v>4278</v>
      </c>
      <c r="C3773" t="str">
        <f>"469006199905051623"</f>
        <v>469006199905051623</v>
      </c>
      <c r="L3773">
        <v>4938</v>
      </c>
      <c r="M3773" t="s">
        <v>4278</v>
      </c>
      <c r="O3773" t="str">
        <f>"469006199905051623"</f>
        <v>469006199905051623</v>
      </c>
    </row>
    <row r="3774" customFormat="1" spans="1:15">
      <c r="A3774">
        <v>4939</v>
      </c>
      <c r="B3774" t="s">
        <v>4279</v>
      </c>
      <c r="C3774" t="str">
        <f>"460005200105161227"</f>
        <v>460005200105161227</v>
      </c>
      <c r="D3774" t="str">
        <f>"248030502310"</f>
        <v>248030502310</v>
      </c>
      <c r="L3774">
        <v>4939</v>
      </c>
      <c r="M3774" t="s">
        <v>4279</v>
      </c>
      <c r="N3774" t="str">
        <f>"248030502310"</f>
        <v>248030502310</v>
      </c>
      <c r="O3774" t="str">
        <f>"460005200105161227"</f>
        <v>460005200105161227</v>
      </c>
    </row>
    <row r="3775" customFormat="1" spans="1:15">
      <c r="A3775">
        <v>4940</v>
      </c>
      <c r="B3775" t="s">
        <v>4280</v>
      </c>
      <c r="C3775" t="str">
        <f>"469026200009066828"</f>
        <v>469026200009066828</v>
      </c>
      <c r="D3775" t="str">
        <f>"248030403722"</f>
        <v>248030403722</v>
      </c>
      <c r="L3775">
        <v>4940</v>
      </c>
      <c r="M3775" t="s">
        <v>4280</v>
      </c>
      <c r="N3775" t="str">
        <f>"248030403722"</f>
        <v>248030403722</v>
      </c>
      <c r="O3775" t="str">
        <f>"469026200009066828"</f>
        <v>469026200009066828</v>
      </c>
    </row>
    <row r="3776" customFormat="1" spans="1:15">
      <c r="A3776">
        <v>4941</v>
      </c>
      <c r="B3776" t="s">
        <v>4281</v>
      </c>
      <c r="C3776" t="str">
        <f>"460027200006120049"</f>
        <v>460027200006120049</v>
      </c>
      <c r="D3776" t="str">
        <f>"248030102109"</f>
        <v>248030102109</v>
      </c>
      <c r="L3776">
        <v>4941</v>
      </c>
      <c r="M3776" t="s">
        <v>4281</v>
      </c>
      <c r="N3776" t="str">
        <f>"248030102109"</f>
        <v>248030102109</v>
      </c>
      <c r="O3776" t="str">
        <f>"460027200006120049"</f>
        <v>460027200006120049</v>
      </c>
    </row>
    <row r="3777" customFormat="1" spans="1:15">
      <c r="A3777">
        <v>4942</v>
      </c>
      <c r="B3777" t="s">
        <v>4282</v>
      </c>
      <c r="C3777" t="str">
        <f>"460030199105060347"</f>
        <v>460030199105060347</v>
      </c>
      <c r="D3777" t="str">
        <f>"248030501415"</f>
        <v>248030501415</v>
      </c>
      <c r="L3777">
        <v>4942</v>
      </c>
      <c r="M3777" t="s">
        <v>4282</v>
      </c>
      <c r="N3777" t="str">
        <f>"248030501415"</f>
        <v>248030501415</v>
      </c>
      <c r="O3777" t="str">
        <f>"460030199105060347"</f>
        <v>460030199105060347</v>
      </c>
    </row>
    <row r="3778" customFormat="1" spans="1:15">
      <c r="A3778">
        <v>4943</v>
      </c>
      <c r="B3778" t="s">
        <v>4283</v>
      </c>
      <c r="C3778" t="str">
        <f>"460004199804103622"</f>
        <v>460004199804103622</v>
      </c>
      <c r="D3778" t="str">
        <f>"248030301612"</f>
        <v>248030301612</v>
      </c>
      <c r="L3778">
        <v>4943</v>
      </c>
      <c r="M3778" t="s">
        <v>4283</v>
      </c>
      <c r="N3778" t="str">
        <f>"248030301612"</f>
        <v>248030301612</v>
      </c>
      <c r="O3778" t="str">
        <f>"460004199804103622"</f>
        <v>460004199804103622</v>
      </c>
    </row>
    <row r="3779" customFormat="1" spans="1:15">
      <c r="A3779">
        <v>4945</v>
      </c>
      <c r="B3779" t="s">
        <v>4284</v>
      </c>
      <c r="C3779" t="str">
        <f>"460028200209252822"</f>
        <v>460028200209252822</v>
      </c>
      <c r="D3779" t="str">
        <f>"248030300203"</f>
        <v>248030300203</v>
      </c>
      <c r="L3779">
        <v>4945</v>
      </c>
      <c r="M3779" t="s">
        <v>4284</v>
      </c>
      <c r="N3779" t="str">
        <f>"248030300203"</f>
        <v>248030300203</v>
      </c>
      <c r="O3779" t="str">
        <f>"460028200209252822"</f>
        <v>460028200209252822</v>
      </c>
    </row>
    <row r="3780" customFormat="1" spans="1:15">
      <c r="A3780">
        <v>4947</v>
      </c>
      <c r="B3780" t="s">
        <v>4285</v>
      </c>
      <c r="C3780" t="str">
        <f>"469021200210243329"</f>
        <v>469021200210243329</v>
      </c>
      <c r="D3780" t="str">
        <f>"248030500310"</f>
        <v>248030500310</v>
      </c>
      <c r="L3780">
        <v>4947</v>
      </c>
      <c r="M3780" t="s">
        <v>4285</v>
      </c>
      <c r="N3780" t="str">
        <f>"248030500310"</f>
        <v>248030500310</v>
      </c>
      <c r="O3780" t="str">
        <f>"469021200210243329"</f>
        <v>469021200210243329</v>
      </c>
    </row>
    <row r="3781" customFormat="1" spans="1:15">
      <c r="A3781">
        <v>4948</v>
      </c>
      <c r="B3781" t="s">
        <v>4286</v>
      </c>
      <c r="C3781" t="str">
        <f>"460006199806012321"</f>
        <v>460006199806012321</v>
      </c>
      <c r="D3781" t="str">
        <f>"248030100720"</f>
        <v>248030100720</v>
      </c>
      <c r="L3781">
        <v>4948</v>
      </c>
      <c r="M3781" t="s">
        <v>4286</v>
      </c>
      <c r="N3781" t="str">
        <f>"248030100720"</f>
        <v>248030100720</v>
      </c>
      <c r="O3781" t="str">
        <f>"460006199806012321"</f>
        <v>460006199806012321</v>
      </c>
    </row>
    <row r="3782" customFormat="1" spans="1:15">
      <c r="A3782">
        <v>4952</v>
      </c>
      <c r="B3782" t="s">
        <v>4287</v>
      </c>
      <c r="C3782" t="str">
        <f>"460003199909171019"</f>
        <v>460003199909171019</v>
      </c>
      <c r="L3782">
        <v>4952</v>
      </c>
      <c r="M3782" t="s">
        <v>4287</v>
      </c>
      <c r="O3782" t="str">
        <f>"460003199909171019"</f>
        <v>460003199909171019</v>
      </c>
    </row>
    <row r="3783" customFormat="1" spans="1:15">
      <c r="A3783">
        <v>4953</v>
      </c>
      <c r="B3783" t="s">
        <v>4288</v>
      </c>
      <c r="C3783" t="str">
        <f>"460031200206120814"</f>
        <v>460031200206120814</v>
      </c>
      <c r="D3783" t="str">
        <f>"248030400428"</f>
        <v>248030400428</v>
      </c>
      <c r="L3783">
        <v>4953</v>
      </c>
      <c r="M3783" t="s">
        <v>4288</v>
      </c>
      <c r="N3783" t="str">
        <f>"248030400428"</f>
        <v>248030400428</v>
      </c>
      <c r="O3783" t="str">
        <f>"460031200206120814"</f>
        <v>460031200206120814</v>
      </c>
    </row>
    <row r="3784" customFormat="1" spans="1:15">
      <c r="A3784">
        <v>4955</v>
      </c>
      <c r="B3784" t="s">
        <v>4289</v>
      </c>
      <c r="C3784" t="str">
        <f>"469023200203083729"</f>
        <v>469023200203083729</v>
      </c>
      <c r="D3784" t="str">
        <f>"248030104016"</f>
        <v>248030104016</v>
      </c>
      <c r="L3784">
        <v>4955</v>
      </c>
      <c r="M3784" t="s">
        <v>4289</v>
      </c>
      <c r="N3784" t="str">
        <f>"248030104016"</f>
        <v>248030104016</v>
      </c>
      <c r="O3784" t="str">
        <f>"469023200203083729"</f>
        <v>469023200203083729</v>
      </c>
    </row>
    <row r="3785" customFormat="1" spans="1:15">
      <c r="A3785">
        <v>4957</v>
      </c>
      <c r="B3785" t="s">
        <v>4290</v>
      </c>
      <c r="C3785" t="str">
        <f>"460033199410164504"</f>
        <v>460033199410164504</v>
      </c>
      <c r="L3785">
        <v>4957</v>
      </c>
      <c r="M3785" t="s">
        <v>4290</v>
      </c>
      <c r="O3785" t="str">
        <f>"460033199410164504"</f>
        <v>460033199410164504</v>
      </c>
    </row>
    <row r="3786" customFormat="1" spans="1:15">
      <c r="A3786">
        <v>4958</v>
      </c>
      <c r="B3786" t="s">
        <v>4291</v>
      </c>
      <c r="C3786" t="str">
        <f>"469023199611183723"</f>
        <v>469023199611183723</v>
      </c>
      <c r="D3786" t="str">
        <f>"248030200111"</f>
        <v>248030200111</v>
      </c>
      <c r="L3786">
        <v>4958</v>
      </c>
      <c r="M3786" t="s">
        <v>4291</v>
      </c>
      <c r="N3786" t="str">
        <f>"248030200111"</f>
        <v>248030200111</v>
      </c>
      <c r="O3786" t="str">
        <f>"469023199611183723"</f>
        <v>469023199611183723</v>
      </c>
    </row>
    <row r="3787" customFormat="1" spans="1:15">
      <c r="A3787">
        <v>4959</v>
      </c>
      <c r="B3787" t="s">
        <v>4292</v>
      </c>
      <c r="C3787" t="str">
        <f>"460034198905092145"</f>
        <v>460034198905092145</v>
      </c>
      <c r="D3787" t="str">
        <f>"248030503503"</f>
        <v>248030503503</v>
      </c>
      <c r="L3787">
        <v>4959</v>
      </c>
      <c r="M3787" t="s">
        <v>4292</v>
      </c>
      <c r="N3787" t="str">
        <f>"248030503503"</f>
        <v>248030503503</v>
      </c>
      <c r="O3787" t="str">
        <f>"460034198905092145"</f>
        <v>460034198905092145</v>
      </c>
    </row>
    <row r="3788" customFormat="1" spans="1:15">
      <c r="A3788">
        <v>4960</v>
      </c>
      <c r="B3788" t="s">
        <v>4293</v>
      </c>
      <c r="C3788" t="str">
        <f>"460007199812209020"</f>
        <v>460007199812209020</v>
      </c>
      <c r="D3788" t="str">
        <f>"248030203601"</f>
        <v>248030203601</v>
      </c>
      <c r="L3788">
        <v>4960</v>
      </c>
      <c r="M3788" t="s">
        <v>4293</v>
      </c>
      <c r="N3788" t="str">
        <f>"248030203601"</f>
        <v>248030203601</v>
      </c>
      <c r="O3788" t="str">
        <f>"460007199812209020"</f>
        <v>460007199812209020</v>
      </c>
    </row>
    <row r="3789" customFormat="1" spans="1:15">
      <c r="A3789">
        <v>4961</v>
      </c>
      <c r="B3789" t="s">
        <v>4294</v>
      </c>
      <c r="C3789" t="str">
        <f>"460033200009213221"</f>
        <v>460033200009213221</v>
      </c>
      <c r="D3789" t="str">
        <f>"248030302023"</f>
        <v>248030302023</v>
      </c>
      <c r="L3789">
        <v>4961</v>
      </c>
      <c r="M3789" t="s">
        <v>4294</v>
      </c>
      <c r="N3789" t="str">
        <f>"248030302023"</f>
        <v>248030302023</v>
      </c>
      <c r="O3789" t="str">
        <f>"460033200009213221"</f>
        <v>460033200009213221</v>
      </c>
    </row>
    <row r="3790" customFormat="1" spans="1:15">
      <c r="A3790">
        <v>4962</v>
      </c>
      <c r="B3790" t="s">
        <v>4295</v>
      </c>
      <c r="C3790" t="str">
        <f>"460002199611292022"</f>
        <v>460002199611292022</v>
      </c>
      <c r="D3790" t="str">
        <f>"248030501408"</f>
        <v>248030501408</v>
      </c>
      <c r="L3790">
        <v>4962</v>
      </c>
      <c r="M3790" t="s">
        <v>4295</v>
      </c>
      <c r="N3790" t="str">
        <f>"248030501408"</f>
        <v>248030501408</v>
      </c>
      <c r="O3790" t="str">
        <f>"460002199611292022"</f>
        <v>460002199611292022</v>
      </c>
    </row>
    <row r="3791" customFormat="1" spans="1:15">
      <c r="A3791">
        <v>4963</v>
      </c>
      <c r="B3791" t="s">
        <v>4296</v>
      </c>
      <c r="C3791" t="str">
        <f>"460004200108170042"</f>
        <v>460004200108170042</v>
      </c>
      <c r="L3791">
        <v>4963</v>
      </c>
      <c r="M3791" t="s">
        <v>4296</v>
      </c>
      <c r="O3791" t="str">
        <f>"460004200108170042"</f>
        <v>460004200108170042</v>
      </c>
    </row>
    <row r="3792" customFormat="1" spans="1:15">
      <c r="A3792">
        <v>4964</v>
      </c>
      <c r="B3792" t="s">
        <v>4297</v>
      </c>
      <c r="C3792" t="str">
        <f>"460031199405085622"</f>
        <v>460031199405085622</v>
      </c>
      <c r="D3792" t="str">
        <f>"248030402018"</f>
        <v>248030402018</v>
      </c>
      <c r="L3792">
        <v>4964</v>
      </c>
      <c r="M3792" t="s">
        <v>4297</v>
      </c>
      <c r="N3792" t="str">
        <f>"248030402018"</f>
        <v>248030402018</v>
      </c>
      <c r="O3792" t="str">
        <f>"460031199405085622"</f>
        <v>460031199405085622</v>
      </c>
    </row>
    <row r="3793" customFormat="1" spans="1:15">
      <c r="A3793">
        <v>4965</v>
      </c>
      <c r="B3793" t="s">
        <v>4298</v>
      </c>
      <c r="C3793" t="str">
        <f>"460004198901314048"</f>
        <v>460004198901314048</v>
      </c>
      <c r="D3793" t="str">
        <f>"248030400312"</f>
        <v>248030400312</v>
      </c>
      <c r="L3793">
        <v>4965</v>
      </c>
      <c r="M3793" t="s">
        <v>4298</v>
      </c>
      <c r="N3793" t="str">
        <f>"248030400312"</f>
        <v>248030400312</v>
      </c>
      <c r="O3793" t="str">
        <f>"460004198901314048"</f>
        <v>460004198901314048</v>
      </c>
    </row>
    <row r="3794" customFormat="1" spans="1:15">
      <c r="A3794">
        <v>4966</v>
      </c>
      <c r="B3794" t="s">
        <v>4013</v>
      </c>
      <c r="C3794" t="str">
        <f>"460027200202175127"</f>
        <v>460027200202175127</v>
      </c>
      <c r="D3794" t="str">
        <f>"248030503114"</f>
        <v>248030503114</v>
      </c>
      <c r="L3794">
        <v>4966</v>
      </c>
      <c r="M3794" t="s">
        <v>4013</v>
      </c>
      <c r="N3794" t="str">
        <f>"248030503114"</f>
        <v>248030503114</v>
      </c>
      <c r="O3794" t="str">
        <f>"460027200202175127"</f>
        <v>460027200202175127</v>
      </c>
    </row>
    <row r="3795" customFormat="1" spans="1:15">
      <c r="A3795">
        <v>4968</v>
      </c>
      <c r="B3795" t="s">
        <v>4299</v>
      </c>
      <c r="C3795" t="str">
        <f>"460002200010290529"</f>
        <v>460002200010290529</v>
      </c>
      <c r="D3795" t="str">
        <f>"248030500302"</f>
        <v>248030500302</v>
      </c>
      <c r="L3795">
        <v>4968</v>
      </c>
      <c r="M3795" t="s">
        <v>4299</v>
      </c>
      <c r="N3795" t="str">
        <f>"248030500302"</f>
        <v>248030500302</v>
      </c>
      <c r="O3795" t="str">
        <f>"460002200010290529"</f>
        <v>460002200010290529</v>
      </c>
    </row>
    <row r="3796" customFormat="1" spans="1:15">
      <c r="A3796">
        <v>4969</v>
      </c>
      <c r="B3796" t="s">
        <v>4300</v>
      </c>
      <c r="C3796" t="str">
        <f>"460033200204163223"</f>
        <v>460033200204163223</v>
      </c>
      <c r="D3796" t="str">
        <f>"248030501520"</f>
        <v>248030501520</v>
      </c>
      <c r="L3796">
        <v>4969</v>
      </c>
      <c r="M3796" t="s">
        <v>4300</v>
      </c>
      <c r="N3796" t="str">
        <f>"248030501520"</f>
        <v>248030501520</v>
      </c>
      <c r="O3796" t="str">
        <f>"460033200204163223"</f>
        <v>460033200204163223</v>
      </c>
    </row>
    <row r="3797" customFormat="1" spans="1:15">
      <c r="A3797">
        <v>4970</v>
      </c>
      <c r="B3797" t="s">
        <v>4301</v>
      </c>
      <c r="C3797" t="str">
        <f>"469023199903151344"</f>
        <v>469023199903151344</v>
      </c>
      <c r="L3797">
        <v>4970</v>
      </c>
      <c r="M3797" t="s">
        <v>4301</v>
      </c>
      <c r="O3797" t="str">
        <f>"469023199903151344"</f>
        <v>469023199903151344</v>
      </c>
    </row>
    <row r="3798" customFormat="1" spans="1:15">
      <c r="A3798">
        <v>4971</v>
      </c>
      <c r="B3798" t="s">
        <v>4302</v>
      </c>
      <c r="C3798" t="str">
        <f>"460103199501190027"</f>
        <v>460103199501190027</v>
      </c>
      <c r="D3798" t="str">
        <f>"248030104826"</f>
        <v>248030104826</v>
      </c>
      <c r="L3798">
        <v>4971</v>
      </c>
      <c r="M3798" t="s">
        <v>4302</v>
      </c>
      <c r="N3798" t="str">
        <f>"248030104826"</f>
        <v>248030104826</v>
      </c>
      <c r="O3798" t="str">
        <f>"460103199501190027"</f>
        <v>460103199501190027</v>
      </c>
    </row>
    <row r="3799" customFormat="1" spans="1:15">
      <c r="A3799">
        <v>4973</v>
      </c>
      <c r="B3799" t="s">
        <v>1546</v>
      </c>
      <c r="C3799" t="str">
        <f>"469023200203147921"</f>
        <v>469023200203147921</v>
      </c>
      <c r="D3799" t="str">
        <f>"248030202111"</f>
        <v>248030202111</v>
      </c>
      <c r="L3799">
        <v>4973</v>
      </c>
      <c r="M3799" t="s">
        <v>1546</v>
      </c>
      <c r="N3799" t="str">
        <f>"248030202111"</f>
        <v>248030202111</v>
      </c>
      <c r="O3799" t="str">
        <f>"469023200203147921"</f>
        <v>469023200203147921</v>
      </c>
    </row>
    <row r="3800" customFormat="1" spans="1:15">
      <c r="A3800">
        <v>4976</v>
      </c>
      <c r="B3800" t="s">
        <v>4303</v>
      </c>
      <c r="C3800" t="str">
        <f>"460026199805250323"</f>
        <v>460026199805250323</v>
      </c>
      <c r="D3800" t="str">
        <f>"248030300126"</f>
        <v>248030300126</v>
      </c>
      <c r="L3800">
        <v>4976</v>
      </c>
      <c r="M3800" t="s">
        <v>4303</v>
      </c>
      <c r="N3800" t="str">
        <f>"248030300126"</f>
        <v>248030300126</v>
      </c>
      <c r="O3800" t="str">
        <f>"460026199805250323"</f>
        <v>460026199805250323</v>
      </c>
    </row>
    <row r="3801" customFormat="1" spans="1:15">
      <c r="A3801">
        <v>4977</v>
      </c>
      <c r="B3801" t="s">
        <v>4304</v>
      </c>
      <c r="C3801" t="str">
        <f>"230203198704191220"</f>
        <v>230203198704191220</v>
      </c>
      <c r="D3801" t="str">
        <f>"248030102727"</f>
        <v>248030102727</v>
      </c>
      <c r="L3801">
        <v>4977</v>
      </c>
      <c r="M3801" t="s">
        <v>4304</v>
      </c>
      <c r="N3801" t="str">
        <f>"248030102727"</f>
        <v>248030102727</v>
      </c>
      <c r="O3801" t="str">
        <f>"230203198704191220"</f>
        <v>230203198704191220</v>
      </c>
    </row>
    <row r="3802" customFormat="1" spans="1:15">
      <c r="A3802">
        <v>4978</v>
      </c>
      <c r="B3802" t="s">
        <v>4305</v>
      </c>
      <c r="C3802" t="str">
        <f>"460028200106040026"</f>
        <v>460028200106040026</v>
      </c>
      <c r="D3802" t="str">
        <f>"248030200407"</f>
        <v>248030200407</v>
      </c>
      <c r="L3802">
        <v>4978</v>
      </c>
      <c r="M3802" t="s">
        <v>4305</v>
      </c>
      <c r="N3802" t="str">
        <f>"248030200407"</f>
        <v>248030200407</v>
      </c>
      <c r="O3802" t="str">
        <f>"460028200106040026"</f>
        <v>460028200106040026</v>
      </c>
    </row>
    <row r="3803" customFormat="1" spans="1:15">
      <c r="A3803">
        <v>4979</v>
      </c>
      <c r="B3803" t="s">
        <v>4306</v>
      </c>
      <c r="C3803" t="str">
        <f>"440823199602207326"</f>
        <v>440823199602207326</v>
      </c>
      <c r="D3803" t="str">
        <f>"248030400718"</f>
        <v>248030400718</v>
      </c>
      <c r="L3803">
        <v>4979</v>
      </c>
      <c r="M3803" t="s">
        <v>4306</v>
      </c>
      <c r="N3803" t="str">
        <f>"248030400718"</f>
        <v>248030400718</v>
      </c>
      <c r="O3803" t="str">
        <f>"440823199602207326"</f>
        <v>440823199602207326</v>
      </c>
    </row>
    <row r="3804" customFormat="1" spans="1:15">
      <c r="A3804">
        <v>4980</v>
      </c>
      <c r="B3804" t="s">
        <v>4307</v>
      </c>
      <c r="C3804" t="str">
        <f>"460007199006160410"</f>
        <v>460007199006160410</v>
      </c>
      <c r="L3804">
        <v>4980</v>
      </c>
      <c r="M3804" t="s">
        <v>4307</v>
      </c>
      <c r="O3804" t="str">
        <f>"460007199006160410"</f>
        <v>460007199006160410</v>
      </c>
    </row>
    <row r="3805" customFormat="1" spans="1:15">
      <c r="A3805">
        <v>4982</v>
      </c>
      <c r="B3805" t="s">
        <v>4308</v>
      </c>
      <c r="C3805" t="str">
        <f>"460006199411192348"</f>
        <v>460006199411192348</v>
      </c>
      <c r="D3805" t="str">
        <f>"248030101620"</f>
        <v>248030101620</v>
      </c>
      <c r="L3805">
        <v>4982</v>
      </c>
      <c r="M3805" t="s">
        <v>4308</v>
      </c>
      <c r="N3805" t="str">
        <f>"248030101620"</f>
        <v>248030101620</v>
      </c>
      <c r="O3805" t="str">
        <f>"460006199411192348"</f>
        <v>460006199411192348</v>
      </c>
    </row>
    <row r="3806" customFormat="1" spans="1:15">
      <c r="A3806">
        <v>4983</v>
      </c>
      <c r="B3806" t="s">
        <v>4309</v>
      </c>
      <c r="C3806" t="str">
        <f>"460102200010220024"</f>
        <v>460102200010220024</v>
      </c>
      <c r="D3806" t="str">
        <f>"248030502728"</f>
        <v>248030502728</v>
      </c>
      <c r="L3806">
        <v>4983</v>
      </c>
      <c r="M3806" t="s">
        <v>4309</v>
      </c>
      <c r="N3806" t="str">
        <f>"248030502728"</f>
        <v>248030502728</v>
      </c>
      <c r="O3806" t="str">
        <f>"460102200010220024"</f>
        <v>460102200010220024</v>
      </c>
    </row>
    <row r="3807" customFormat="1" spans="1:15">
      <c r="A3807">
        <v>4984</v>
      </c>
      <c r="B3807" t="s">
        <v>4310</v>
      </c>
      <c r="C3807" t="str">
        <f>"421126200202211717"</f>
        <v>421126200202211717</v>
      </c>
      <c r="L3807">
        <v>4984</v>
      </c>
      <c r="M3807" t="s">
        <v>4310</v>
      </c>
      <c r="O3807" t="str">
        <f>"421126200202211717"</f>
        <v>421126200202211717</v>
      </c>
    </row>
    <row r="3808" customFormat="1" spans="1:15">
      <c r="A3808">
        <v>4985</v>
      </c>
      <c r="B3808" t="s">
        <v>4311</v>
      </c>
      <c r="C3808" t="str">
        <f>"469024200001163225"</f>
        <v>469024200001163225</v>
      </c>
      <c r="D3808" t="str">
        <f>"248030501112"</f>
        <v>248030501112</v>
      </c>
      <c r="L3808">
        <v>4985</v>
      </c>
      <c r="M3808" t="s">
        <v>4311</v>
      </c>
      <c r="N3808" t="str">
        <f>"248030501112"</f>
        <v>248030501112</v>
      </c>
      <c r="O3808" t="str">
        <f>"469024200001163225"</f>
        <v>469024200001163225</v>
      </c>
    </row>
    <row r="3809" customFormat="1" spans="1:15">
      <c r="A3809">
        <v>4986</v>
      </c>
      <c r="B3809" t="s">
        <v>4312</v>
      </c>
      <c r="C3809" t="str">
        <f>"460026200101294526"</f>
        <v>460026200101294526</v>
      </c>
      <c r="D3809" t="str">
        <f>"248030402718"</f>
        <v>248030402718</v>
      </c>
      <c r="L3809">
        <v>4986</v>
      </c>
      <c r="M3809" t="s">
        <v>4312</v>
      </c>
      <c r="N3809" t="str">
        <f>"248030402718"</f>
        <v>248030402718</v>
      </c>
      <c r="O3809" t="str">
        <f>"460026200101294526"</f>
        <v>460026200101294526</v>
      </c>
    </row>
    <row r="3810" customFormat="1" spans="1:15">
      <c r="A3810">
        <v>4987</v>
      </c>
      <c r="B3810" t="s">
        <v>4313</v>
      </c>
      <c r="C3810" t="str">
        <f>"420606200010133057"</f>
        <v>420606200010133057</v>
      </c>
      <c r="D3810" t="str">
        <f>"248030201605"</f>
        <v>248030201605</v>
      </c>
      <c r="L3810">
        <v>4987</v>
      </c>
      <c r="M3810" t="s">
        <v>4313</v>
      </c>
      <c r="N3810" t="str">
        <f>"248030201605"</f>
        <v>248030201605</v>
      </c>
      <c r="O3810" t="str">
        <f>"420606200010133057"</f>
        <v>420606200010133057</v>
      </c>
    </row>
    <row r="3811" customFormat="1" spans="1:15">
      <c r="A3811">
        <v>4988</v>
      </c>
      <c r="B3811" t="s">
        <v>4314</v>
      </c>
      <c r="C3811" t="str">
        <f>"460005200101270522"</f>
        <v>460005200101270522</v>
      </c>
      <c r="D3811" t="str">
        <f>"248030502508"</f>
        <v>248030502508</v>
      </c>
      <c r="L3811">
        <v>4988</v>
      </c>
      <c r="M3811" t="s">
        <v>4314</v>
      </c>
      <c r="N3811" t="str">
        <f>"248030502508"</f>
        <v>248030502508</v>
      </c>
      <c r="O3811" t="str">
        <f>"460005200101270522"</f>
        <v>460005200101270522</v>
      </c>
    </row>
    <row r="3812" customFormat="1" spans="1:15">
      <c r="A3812">
        <v>4989</v>
      </c>
      <c r="B3812" t="s">
        <v>2716</v>
      </c>
      <c r="C3812" t="str">
        <f>"500237200004236765"</f>
        <v>500237200004236765</v>
      </c>
      <c r="D3812" t="str">
        <f>"248030503309"</f>
        <v>248030503309</v>
      </c>
      <c r="L3812">
        <v>4989</v>
      </c>
      <c r="M3812" t="s">
        <v>2716</v>
      </c>
      <c r="N3812" t="str">
        <f>"248030503309"</f>
        <v>248030503309</v>
      </c>
      <c r="O3812" t="str">
        <f>"500237200004236765"</f>
        <v>500237200004236765</v>
      </c>
    </row>
    <row r="3813" customFormat="1" spans="1:15">
      <c r="A3813">
        <v>4992</v>
      </c>
      <c r="B3813" t="s">
        <v>4315</v>
      </c>
      <c r="C3813" t="str">
        <f>"210411200010210025"</f>
        <v>210411200010210025</v>
      </c>
      <c r="D3813" t="str">
        <f>"248030201611"</f>
        <v>248030201611</v>
      </c>
      <c r="L3813">
        <v>4992</v>
      </c>
      <c r="M3813" t="s">
        <v>4315</v>
      </c>
      <c r="N3813" t="str">
        <f>"248030201611"</f>
        <v>248030201611</v>
      </c>
      <c r="O3813" t="str">
        <f>"210411200010210025"</f>
        <v>210411200010210025</v>
      </c>
    </row>
    <row r="3814" customFormat="1" spans="1:15">
      <c r="A3814">
        <v>4994</v>
      </c>
      <c r="B3814" t="s">
        <v>4316</v>
      </c>
      <c r="C3814" t="str">
        <f>"360103200010165929"</f>
        <v>360103200010165929</v>
      </c>
      <c r="D3814" t="str">
        <f>"248030102020"</f>
        <v>248030102020</v>
      </c>
      <c r="L3814">
        <v>4994</v>
      </c>
      <c r="M3814" t="s">
        <v>4316</v>
      </c>
      <c r="N3814" t="str">
        <f>"248030102020"</f>
        <v>248030102020</v>
      </c>
      <c r="O3814" t="str">
        <f>"360103200010165929"</f>
        <v>360103200010165929</v>
      </c>
    </row>
    <row r="3815" customFormat="1" spans="1:15">
      <c r="A3815">
        <v>4998</v>
      </c>
      <c r="B3815" t="s">
        <v>1434</v>
      </c>
      <c r="C3815" t="str">
        <f>"622101199912161449"</f>
        <v>622101199912161449</v>
      </c>
      <c r="D3815" t="str">
        <f>"248030404006"</f>
        <v>248030404006</v>
      </c>
      <c r="L3815">
        <v>4998</v>
      </c>
      <c r="M3815" t="s">
        <v>1434</v>
      </c>
      <c r="N3815" t="str">
        <f>"248030404006"</f>
        <v>248030404006</v>
      </c>
      <c r="O3815" t="str">
        <f>"622101199912161449"</f>
        <v>622101199912161449</v>
      </c>
    </row>
    <row r="3816" customFormat="1" spans="1:15">
      <c r="A3816">
        <v>4999</v>
      </c>
      <c r="B3816" t="s">
        <v>4317</v>
      </c>
      <c r="C3816" t="str">
        <f>"460103199402083023"</f>
        <v>460103199402083023</v>
      </c>
      <c r="D3816" t="str">
        <f>"248030500927"</f>
        <v>248030500927</v>
      </c>
      <c r="L3816">
        <v>4999</v>
      </c>
      <c r="M3816" t="s">
        <v>4317</v>
      </c>
      <c r="N3816" t="str">
        <f>"248030500927"</f>
        <v>248030500927</v>
      </c>
      <c r="O3816" t="str">
        <f>"460103199402083023"</f>
        <v>460103199402083023</v>
      </c>
    </row>
    <row r="3817" customFormat="1" spans="1:15">
      <c r="A3817">
        <v>5000</v>
      </c>
      <c r="B3817" t="s">
        <v>4318</v>
      </c>
      <c r="C3817" t="str">
        <f>"622701199403192020"</f>
        <v>622701199403192020</v>
      </c>
      <c r="L3817">
        <v>5000</v>
      </c>
      <c r="M3817" t="s">
        <v>4318</v>
      </c>
      <c r="O3817" t="str">
        <f>"622701199403192020"</f>
        <v>622701199403192020</v>
      </c>
    </row>
    <row r="3818" customFormat="1" spans="1:15">
      <c r="A3818">
        <v>5001</v>
      </c>
      <c r="B3818" t="s">
        <v>4319</v>
      </c>
      <c r="C3818" t="str">
        <f>"460028200110142447"</f>
        <v>460028200110142447</v>
      </c>
      <c r="D3818" t="str">
        <f>"248030501102"</f>
        <v>248030501102</v>
      </c>
      <c r="L3818">
        <v>5001</v>
      </c>
      <c r="M3818" t="s">
        <v>4319</v>
      </c>
      <c r="N3818" t="str">
        <f>"248030501102"</f>
        <v>248030501102</v>
      </c>
      <c r="O3818" t="str">
        <f>"460028200110142447"</f>
        <v>460028200110142447</v>
      </c>
    </row>
    <row r="3819" customFormat="1" spans="1:15">
      <c r="A3819">
        <v>5002</v>
      </c>
      <c r="B3819" t="s">
        <v>4320</v>
      </c>
      <c r="C3819" t="str">
        <f>"460002199402114182"</f>
        <v>460002199402114182</v>
      </c>
      <c r="D3819" t="str">
        <f>"248030104113"</f>
        <v>248030104113</v>
      </c>
      <c r="L3819">
        <v>5002</v>
      </c>
      <c r="M3819" t="s">
        <v>4320</v>
      </c>
      <c r="N3819" t="str">
        <f>"248030104113"</f>
        <v>248030104113</v>
      </c>
      <c r="O3819" t="str">
        <f>"460002199402114182"</f>
        <v>460002199402114182</v>
      </c>
    </row>
    <row r="3820" customFormat="1" spans="1:15">
      <c r="A3820">
        <v>5003</v>
      </c>
      <c r="B3820" t="s">
        <v>4321</v>
      </c>
      <c r="C3820" t="str">
        <f>"460007200108317621"</f>
        <v>460007200108317621</v>
      </c>
      <c r="D3820" t="str">
        <f>"248030503725"</f>
        <v>248030503725</v>
      </c>
      <c r="L3820">
        <v>5003</v>
      </c>
      <c r="M3820" t="s">
        <v>4321</v>
      </c>
      <c r="N3820" t="str">
        <f>"248030503725"</f>
        <v>248030503725</v>
      </c>
      <c r="O3820" t="str">
        <f>"460007200108317621"</f>
        <v>460007200108317621</v>
      </c>
    </row>
    <row r="3821" customFormat="1" spans="1:15">
      <c r="A3821">
        <v>5004</v>
      </c>
      <c r="B3821" t="s">
        <v>4322</v>
      </c>
      <c r="C3821" t="str">
        <f>"469007200106016188"</f>
        <v>469007200106016188</v>
      </c>
      <c r="D3821" t="str">
        <f>"248030102613"</f>
        <v>248030102613</v>
      </c>
      <c r="L3821">
        <v>5004</v>
      </c>
      <c r="M3821" t="s">
        <v>4322</v>
      </c>
      <c r="N3821" t="str">
        <f>"248030102613"</f>
        <v>248030102613</v>
      </c>
      <c r="O3821" t="str">
        <f>"469007200106016188"</f>
        <v>469007200106016188</v>
      </c>
    </row>
    <row r="3822" customFormat="1" spans="1:15">
      <c r="A3822">
        <v>5005</v>
      </c>
      <c r="B3822" t="s">
        <v>4323</v>
      </c>
      <c r="C3822" t="str">
        <f>"460028198405012826"</f>
        <v>460028198405012826</v>
      </c>
      <c r="D3822" t="str">
        <f>"248030101226"</f>
        <v>248030101226</v>
      </c>
      <c r="L3822">
        <v>5005</v>
      </c>
      <c r="M3822" t="s">
        <v>4323</v>
      </c>
      <c r="N3822" t="str">
        <f>"248030101226"</f>
        <v>248030101226</v>
      </c>
      <c r="O3822" t="str">
        <f>"460028198405012826"</f>
        <v>460028198405012826</v>
      </c>
    </row>
    <row r="3823" customFormat="1" spans="1:15">
      <c r="A3823">
        <v>5006</v>
      </c>
      <c r="B3823" t="s">
        <v>4324</v>
      </c>
      <c r="C3823" t="str">
        <f>"460200200103063841"</f>
        <v>460200200103063841</v>
      </c>
      <c r="L3823">
        <v>5006</v>
      </c>
      <c r="M3823" t="s">
        <v>4324</v>
      </c>
      <c r="O3823" t="str">
        <f>"460200200103063841"</f>
        <v>460200200103063841</v>
      </c>
    </row>
    <row r="3824" customFormat="1" spans="1:15">
      <c r="A3824">
        <v>5008</v>
      </c>
      <c r="B3824" t="s">
        <v>4325</v>
      </c>
      <c r="C3824" t="str">
        <f>"460006200008313117"</f>
        <v>460006200008313117</v>
      </c>
      <c r="L3824">
        <v>5008</v>
      </c>
      <c r="M3824" t="s">
        <v>4325</v>
      </c>
      <c r="O3824" t="str">
        <f>"460006200008313117"</f>
        <v>460006200008313117</v>
      </c>
    </row>
    <row r="3825" customFormat="1" spans="1:15">
      <c r="A3825">
        <v>5009</v>
      </c>
      <c r="B3825" t="s">
        <v>4326</v>
      </c>
      <c r="C3825" t="str">
        <f>"460006200009240626"</f>
        <v>460006200009240626</v>
      </c>
      <c r="L3825">
        <v>5009</v>
      </c>
      <c r="M3825" t="s">
        <v>4326</v>
      </c>
      <c r="O3825" t="str">
        <f>"460006200009240626"</f>
        <v>460006200009240626</v>
      </c>
    </row>
    <row r="3826" customFormat="1" spans="1:15">
      <c r="A3826">
        <v>5011</v>
      </c>
      <c r="B3826" t="s">
        <v>4327</v>
      </c>
      <c r="C3826" t="str">
        <f>"22018319930409704X"</f>
        <v>22018319930409704X</v>
      </c>
      <c r="D3826" t="str">
        <f>"248030103303"</f>
        <v>248030103303</v>
      </c>
      <c r="L3826">
        <v>5011</v>
      </c>
      <c r="M3826" t="s">
        <v>4327</v>
      </c>
      <c r="N3826" t="str">
        <f>"248030103303"</f>
        <v>248030103303</v>
      </c>
      <c r="O3826" t="str">
        <f>"22018319930409704X"</f>
        <v>22018319930409704X</v>
      </c>
    </row>
    <row r="3827" customFormat="1" spans="1:15">
      <c r="A3827">
        <v>5012</v>
      </c>
      <c r="B3827" t="s">
        <v>4328</v>
      </c>
      <c r="C3827" t="str">
        <f>"460026199207202145"</f>
        <v>460026199207202145</v>
      </c>
      <c r="L3827">
        <v>5012</v>
      </c>
      <c r="M3827" t="s">
        <v>4328</v>
      </c>
      <c r="O3827" t="str">
        <f>"460026199207202145"</f>
        <v>460026199207202145</v>
      </c>
    </row>
    <row r="3828" customFormat="1" spans="1:15">
      <c r="A3828">
        <v>5014</v>
      </c>
      <c r="B3828" t="s">
        <v>4329</v>
      </c>
      <c r="C3828" t="str">
        <f>"460007200107115366"</f>
        <v>460007200107115366</v>
      </c>
      <c r="D3828" t="str">
        <f>"248030502313"</f>
        <v>248030502313</v>
      </c>
      <c r="L3828">
        <v>5014</v>
      </c>
      <c r="M3828" t="s">
        <v>4329</v>
      </c>
      <c r="N3828" t="str">
        <f>"248030502313"</f>
        <v>248030502313</v>
      </c>
      <c r="O3828" t="str">
        <f>"460007200107115366"</f>
        <v>460007200107115366</v>
      </c>
    </row>
    <row r="3829" customFormat="1" spans="1:15">
      <c r="A3829">
        <v>5015</v>
      </c>
      <c r="B3829" t="s">
        <v>4330</v>
      </c>
      <c r="C3829" t="str">
        <f>"460026199802055119"</f>
        <v>460026199802055119</v>
      </c>
      <c r="L3829">
        <v>5015</v>
      </c>
      <c r="M3829" t="s">
        <v>4330</v>
      </c>
      <c r="O3829" t="str">
        <f>"460026199802055119"</f>
        <v>460026199802055119</v>
      </c>
    </row>
    <row r="3830" customFormat="1" spans="1:15">
      <c r="A3830">
        <v>5016</v>
      </c>
      <c r="B3830" t="s">
        <v>4331</v>
      </c>
      <c r="C3830" t="str">
        <f>"469023200008301321"</f>
        <v>469023200008301321</v>
      </c>
      <c r="D3830" t="str">
        <f>"248030301609"</f>
        <v>248030301609</v>
      </c>
      <c r="L3830">
        <v>5016</v>
      </c>
      <c r="M3830" t="s">
        <v>4331</v>
      </c>
      <c r="N3830" t="str">
        <f>"248030301609"</f>
        <v>248030301609</v>
      </c>
      <c r="O3830" t="str">
        <f>"469023200008301321"</f>
        <v>469023200008301321</v>
      </c>
    </row>
    <row r="3831" customFormat="1" spans="1:15">
      <c r="A3831">
        <v>5017</v>
      </c>
      <c r="B3831" t="s">
        <v>4332</v>
      </c>
      <c r="C3831" t="str">
        <f>"460102200206260028"</f>
        <v>460102200206260028</v>
      </c>
      <c r="D3831" t="str">
        <f>"248030105008"</f>
        <v>248030105008</v>
      </c>
      <c r="L3831">
        <v>5017</v>
      </c>
      <c r="M3831" t="s">
        <v>4332</v>
      </c>
      <c r="N3831" t="str">
        <f>"248030105008"</f>
        <v>248030105008</v>
      </c>
      <c r="O3831" t="str">
        <f>"460102200206260028"</f>
        <v>460102200206260028</v>
      </c>
    </row>
    <row r="3832" customFormat="1" spans="1:15">
      <c r="A3832">
        <v>5018</v>
      </c>
      <c r="B3832" t="s">
        <v>4333</v>
      </c>
      <c r="C3832" t="str">
        <f>"469024199506252025"</f>
        <v>469024199506252025</v>
      </c>
      <c r="D3832" t="str">
        <f>"248030402619"</f>
        <v>248030402619</v>
      </c>
      <c r="L3832">
        <v>5018</v>
      </c>
      <c r="M3832" t="s">
        <v>4333</v>
      </c>
      <c r="N3832" t="str">
        <f>"248030402619"</f>
        <v>248030402619</v>
      </c>
      <c r="O3832" t="str">
        <f>"469024199506252025"</f>
        <v>469024199506252025</v>
      </c>
    </row>
    <row r="3833" customFormat="1" spans="1:15">
      <c r="A3833">
        <v>5019</v>
      </c>
      <c r="B3833" t="s">
        <v>4334</v>
      </c>
      <c r="C3833" t="str">
        <f>"460027198710210400"</f>
        <v>460027198710210400</v>
      </c>
      <c r="D3833" t="str">
        <f>"248030102112"</f>
        <v>248030102112</v>
      </c>
      <c r="L3833">
        <v>5019</v>
      </c>
      <c r="M3833" t="s">
        <v>4334</v>
      </c>
      <c r="N3833" t="str">
        <f>"248030102112"</f>
        <v>248030102112</v>
      </c>
      <c r="O3833" t="str">
        <f>"460027198710210400"</f>
        <v>460027198710210400</v>
      </c>
    </row>
    <row r="3834" customFormat="1" spans="1:15">
      <c r="A3834">
        <v>5020</v>
      </c>
      <c r="B3834" t="s">
        <v>4335</v>
      </c>
      <c r="C3834" t="str">
        <f>"460006199307054033"</f>
        <v>460006199307054033</v>
      </c>
      <c r="D3834" t="str">
        <f>"248030200811"</f>
        <v>248030200811</v>
      </c>
      <c r="L3834">
        <v>5020</v>
      </c>
      <c r="M3834" t="s">
        <v>4335</v>
      </c>
      <c r="N3834" t="str">
        <f>"248030200811"</f>
        <v>248030200811</v>
      </c>
      <c r="O3834" t="str">
        <f>"460006199307054033"</f>
        <v>460006199307054033</v>
      </c>
    </row>
    <row r="3835" customFormat="1" spans="1:15">
      <c r="A3835">
        <v>5022</v>
      </c>
      <c r="B3835" t="s">
        <v>4336</v>
      </c>
      <c r="C3835" t="str">
        <f>"46000319970626344X"</f>
        <v>46000319970626344X</v>
      </c>
      <c r="D3835" t="str">
        <f>"248030203125"</f>
        <v>248030203125</v>
      </c>
      <c r="L3835">
        <v>5022</v>
      </c>
      <c r="M3835" t="s">
        <v>4336</v>
      </c>
      <c r="N3835" t="str">
        <f>"248030203125"</f>
        <v>248030203125</v>
      </c>
      <c r="O3835" t="str">
        <f>"46000319970626344X"</f>
        <v>46000319970626344X</v>
      </c>
    </row>
    <row r="3836" customFormat="1" spans="1:15">
      <c r="A3836">
        <v>5023</v>
      </c>
      <c r="B3836" t="s">
        <v>4337</v>
      </c>
      <c r="C3836" t="str">
        <f>"440304199308255726"</f>
        <v>440304199308255726</v>
      </c>
      <c r="D3836" t="str">
        <f>"248030500223"</f>
        <v>248030500223</v>
      </c>
      <c r="L3836">
        <v>5023</v>
      </c>
      <c r="M3836" t="s">
        <v>4337</v>
      </c>
      <c r="N3836" t="str">
        <f>"248030500223"</f>
        <v>248030500223</v>
      </c>
      <c r="O3836" t="str">
        <f>"440304199308255726"</f>
        <v>440304199308255726</v>
      </c>
    </row>
    <row r="3837" customFormat="1" spans="1:15">
      <c r="A3837">
        <v>5024</v>
      </c>
      <c r="B3837" t="s">
        <v>4338</v>
      </c>
      <c r="C3837" t="str">
        <f>"440823200009168122"</f>
        <v>440823200009168122</v>
      </c>
      <c r="D3837" t="str">
        <f>"248030404212"</f>
        <v>248030404212</v>
      </c>
      <c r="L3837">
        <v>5024</v>
      </c>
      <c r="M3837" t="s">
        <v>4338</v>
      </c>
      <c r="N3837" t="str">
        <f>"248030404212"</f>
        <v>248030404212</v>
      </c>
      <c r="O3837" t="str">
        <f>"440823200009168122"</f>
        <v>440823200009168122</v>
      </c>
    </row>
    <row r="3838" customFormat="1" spans="1:15">
      <c r="A3838">
        <v>5025</v>
      </c>
      <c r="B3838" t="s">
        <v>4339</v>
      </c>
      <c r="C3838" t="str">
        <f>"460102199012271241"</f>
        <v>460102199012271241</v>
      </c>
      <c r="D3838" t="str">
        <f>"248030500412"</f>
        <v>248030500412</v>
      </c>
      <c r="L3838">
        <v>5025</v>
      </c>
      <c r="M3838" t="s">
        <v>4339</v>
      </c>
      <c r="N3838" t="str">
        <f>"248030500412"</f>
        <v>248030500412</v>
      </c>
      <c r="O3838" t="str">
        <f>"460102199012271241"</f>
        <v>460102199012271241</v>
      </c>
    </row>
    <row r="3839" customFormat="1" spans="1:15">
      <c r="A3839">
        <v>5026</v>
      </c>
      <c r="B3839" t="s">
        <v>4340</v>
      </c>
      <c r="C3839" t="str">
        <f>"41302319871229006X"</f>
        <v>41302319871229006X</v>
      </c>
      <c r="D3839" t="str">
        <f>"248030400712"</f>
        <v>248030400712</v>
      </c>
      <c r="L3839">
        <v>5026</v>
      </c>
      <c r="M3839" t="s">
        <v>4340</v>
      </c>
      <c r="N3839" t="str">
        <f>"248030400712"</f>
        <v>248030400712</v>
      </c>
      <c r="O3839" t="str">
        <f>"41302319871229006X"</f>
        <v>41302319871229006X</v>
      </c>
    </row>
    <row r="3840" customFormat="1" spans="1:15">
      <c r="A3840">
        <v>5027</v>
      </c>
      <c r="B3840" t="s">
        <v>4341</v>
      </c>
      <c r="C3840" t="str">
        <f>"460031199504091227"</f>
        <v>460031199504091227</v>
      </c>
      <c r="D3840" t="str">
        <f>"248030202515"</f>
        <v>248030202515</v>
      </c>
      <c r="L3840">
        <v>5027</v>
      </c>
      <c r="M3840" t="s">
        <v>4341</v>
      </c>
      <c r="N3840" t="str">
        <f>"248030202515"</f>
        <v>248030202515</v>
      </c>
      <c r="O3840" t="str">
        <f>"460031199504091227"</f>
        <v>460031199504091227</v>
      </c>
    </row>
    <row r="3841" customFormat="1" spans="1:15">
      <c r="A3841">
        <v>5029</v>
      </c>
      <c r="B3841" t="s">
        <v>4342</v>
      </c>
      <c r="C3841" t="str">
        <f>"460028199604180042"</f>
        <v>460028199604180042</v>
      </c>
      <c r="D3841" t="str">
        <f>"248030401414"</f>
        <v>248030401414</v>
      </c>
      <c r="L3841">
        <v>5029</v>
      </c>
      <c r="M3841" t="s">
        <v>4342</v>
      </c>
      <c r="N3841" t="str">
        <f>"248030401414"</f>
        <v>248030401414</v>
      </c>
      <c r="O3841" t="str">
        <f>"460028199604180042"</f>
        <v>460028199604180042</v>
      </c>
    </row>
    <row r="3842" customFormat="1" spans="1:15">
      <c r="A3842">
        <v>5030</v>
      </c>
      <c r="B3842" t="s">
        <v>4343</v>
      </c>
      <c r="C3842" t="str">
        <f>"46010719980404302X"</f>
        <v>46010719980404302X</v>
      </c>
      <c r="D3842" t="str">
        <f>"248030403125"</f>
        <v>248030403125</v>
      </c>
      <c r="L3842">
        <v>5030</v>
      </c>
      <c r="M3842" t="s">
        <v>4343</v>
      </c>
      <c r="N3842" t="str">
        <f>"248030403125"</f>
        <v>248030403125</v>
      </c>
      <c r="O3842" t="str">
        <f>"46010719980404302X"</f>
        <v>46010719980404302X</v>
      </c>
    </row>
    <row r="3843" customFormat="1" spans="1:15">
      <c r="A3843">
        <v>5031</v>
      </c>
      <c r="B3843" t="s">
        <v>4344</v>
      </c>
      <c r="C3843" t="str">
        <f>"460004199504041423"</f>
        <v>460004199504041423</v>
      </c>
      <c r="D3843" t="str">
        <f>"248030402320"</f>
        <v>248030402320</v>
      </c>
      <c r="L3843">
        <v>5031</v>
      </c>
      <c r="M3843" t="s">
        <v>4344</v>
      </c>
      <c r="N3843" t="str">
        <f>"248030402320"</f>
        <v>248030402320</v>
      </c>
      <c r="O3843" t="str">
        <f>"460004199504041423"</f>
        <v>460004199504041423</v>
      </c>
    </row>
    <row r="3844" customFormat="1" spans="1:15">
      <c r="A3844">
        <v>5032</v>
      </c>
      <c r="B3844" t="s">
        <v>4345</v>
      </c>
      <c r="C3844" t="str">
        <f>"420982199110301422"</f>
        <v>420982199110301422</v>
      </c>
      <c r="L3844">
        <v>5032</v>
      </c>
      <c r="M3844" t="s">
        <v>4345</v>
      </c>
      <c r="O3844" t="str">
        <f>"420982199110301422"</f>
        <v>420982199110301422</v>
      </c>
    </row>
    <row r="3845" customFormat="1" spans="1:15">
      <c r="A3845">
        <v>5033</v>
      </c>
      <c r="B3845" t="s">
        <v>4346</v>
      </c>
      <c r="C3845" t="str">
        <f>"460002200203150821"</f>
        <v>460002200203150821</v>
      </c>
      <c r="D3845" t="str">
        <f>"248030200211"</f>
        <v>248030200211</v>
      </c>
      <c r="L3845">
        <v>5033</v>
      </c>
      <c r="M3845" t="s">
        <v>4346</v>
      </c>
      <c r="N3845" t="str">
        <f>"248030200211"</f>
        <v>248030200211</v>
      </c>
      <c r="O3845" t="str">
        <f>"460002200203150821"</f>
        <v>460002200203150821</v>
      </c>
    </row>
    <row r="3846" customFormat="1" spans="1:15">
      <c r="A3846">
        <v>5034</v>
      </c>
      <c r="B3846" t="s">
        <v>4347</v>
      </c>
      <c r="C3846" t="str">
        <f>"620104200111161345"</f>
        <v>620104200111161345</v>
      </c>
      <c r="L3846">
        <v>5034</v>
      </c>
      <c r="M3846" t="s">
        <v>4347</v>
      </c>
      <c r="O3846" t="str">
        <f>"620104200111161345"</f>
        <v>620104200111161345</v>
      </c>
    </row>
    <row r="3847" customFormat="1" spans="1:15">
      <c r="A3847">
        <v>5035</v>
      </c>
      <c r="B3847" t="s">
        <v>4348</v>
      </c>
      <c r="C3847" t="str">
        <f>"460021199209254422"</f>
        <v>460021199209254422</v>
      </c>
      <c r="D3847" t="str">
        <f>"248030301518"</f>
        <v>248030301518</v>
      </c>
      <c r="L3847">
        <v>5035</v>
      </c>
      <c r="M3847" t="s">
        <v>4348</v>
      </c>
      <c r="N3847" t="str">
        <f>"248030301518"</f>
        <v>248030301518</v>
      </c>
      <c r="O3847" t="str">
        <f>"460021199209254422"</f>
        <v>460021199209254422</v>
      </c>
    </row>
    <row r="3848" customFormat="1" spans="1:15">
      <c r="A3848">
        <v>5036</v>
      </c>
      <c r="B3848" t="s">
        <v>4349</v>
      </c>
      <c r="C3848" t="str">
        <f>"46000519990809152X"</f>
        <v>46000519990809152X</v>
      </c>
      <c r="L3848">
        <v>5036</v>
      </c>
      <c r="M3848" t="s">
        <v>4349</v>
      </c>
      <c r="O3848" t="str">
        <f>"46000519990809152X"</f>
        <v>46000519990809152X</v>
      </c>
    </row>
    <row r="3849" customFormat="1" spans="1:15">
      <c r="A3849">
        <v>5037</v>
      </c>
      <c r="B3849" t="s">
        <v>4350</v>
      </c>
      <c r="C3849" t="str">
        <f>"460103199001280042"</f>
        <v>460103199001280042</v>
      </c>
      <c r="D3849" t="str">
        <f>"248030501602"</f>
        <v>248030501602</v>
      </c>
      <c r="L3849">
        <v>5037</v>
      </c>
      <c r="M3849" t="s">
        <v>4350</v>
      </c>
      <c r="N3849" t="str">
        <f>"248030501602"</f>
        <v>248030501602</v>
      </c>
      <c r="O3849" t="str">
        <f>"460103199001280042"</f>
        <v>460103199001280042</v>
      </c>
    </row>
    <row r="3850" customFormat="1" spans="1:15">
      <c r="A3850">
        <v>5038</v>
      </c>
      <c r="B3850" t="s">
        <v>4351</v>
      </c>
      <c r="C3850" t="str">
        <f>"513701199809124226"</f>
        <v>513701199809124226</v>
      </c>
      <c r="D3850" t="str">
        <f>"248030503119"</f>
        <v>248030503119</v>
      </c>
      <c r="L3850">
        <v>5038</v>
      </c>
      <c r="M3850" t="s">
        <v>4351</v>
      </c>
      <c r="N3850" t="str">
        <f>"248030503119"</f>
        <v>248030503119</v>
      </c>
      <c r="O3850" t="str">
        <f>"513701199809124226"</f>
        <v>513701199809124226</v>
      </c>
    </row>
    <row r="3851" customFormat="1" spans="1:15">
      <c r="A3851">
        <v>5039</v>
      </c>
      <c r="B3851" t="s">
        <v>4352</v>
      </c>
      <c r="C3851" t="str">
        <f>"46000519971113002X"</f>
        <v>46000519971113002X</v>
      </c>
      <c r="D3851" t="str">
        <f>"248030502913"</f>
        <v>248030502913</v>
      </c>
      <c r="L3851">
        <v>5039</v>
      </c>
      <c r="M3851" t="s">
        <v>4352</v>
      </c>
      <c r="N3851" t="str">
        <f>"248030502913"</f>
        <v>248030502913</v>
      </c>
      <c r="O3851" t="str">
        <f>"46000519971113002X"</f>
        <v>46000519971113002X</v>
      </c>
    </row>
    <row r="3852" customFormat="1" spans="1:15">
      <c r="A3852">
        <v>5040</v>
      </c>
      <c r="B3852" t="s">
        <v>4353</v>
      </c>
      <c r="C3852" t="str">
        <f>"460102199610283322"</f>
        <v>460102199610283322</v>
      </c>
      <c r="D3852" t="str">
        <f>"248030502609"</f>
        <v>248030502609</v>
      </c>
      <c r="L3852">
        <v>5040</v>
      </c>
      <c r="M3852" t="s">
        <v>4353</v>
      </c>
      <c r="N3852" t="str">
        <f>"248030502609"</f>
        <v>248030502609</v>
      </c>
      <c r="O3852" t="str">
        <f>"460102199610283322"</f>
        <v>460102199610283322</v>
      </c>
    </row>
    <row r="3853" customFormat="1" spans="1:15">
      <c r="A3853">
        <v>5041</v>
      </c>
      <c r="B3853" t="s">
        <v>4354</v>
      </c>
      <c r="C3853" t="str">
        <f>"460031199606171623"</f>
        <v>460031199606171623</v>
      </c>
      <c r="D3853" t="str">
        <f>"248030501502"</f>
        <v>248030501502</v>
      </c>
      <c r="L3853">
        <v>5041</v>
      </c>
      <c r="M3853" t="s">
        <v>4354</v>
      </c>
      <c r="N3853" t="str">
        <f>"248030501502"</f>
        <v>248030501502</v>
      </c>
      <c r="O3853" t="str">
        <f>"460031199606171623"</f>
        <v>460031199606171623</v>
      </c>
    </row>
    <row r="3854" customFormat="1" spans="1:15">
      <c r="A3854">
        <v>5042</v>
      </c>
      <c r="B3854" t="s">
        <v>4355</v>
      </c>
      <c r="C3854" t="str">
        <f>"460027200006162986"</f>
        <v>460027200006162986</v>
      </c>
      <c r="D3854" t="str">
        <f>"248030100805"</f>
        <v>248030100805</v>
      </c>
      <c r="L3854">
        <v>5042</v>
      </c>
      <c r="M3854" t="s">
        <v>4355</v>
      </c>
      <c r="N3854" t="str">
        <f>"248030100805"</f>
        <v>248030100805</v>
      </c>
      <c r="O3854" t="str">
        <f>"460027200006162986"</f>
        <v>460027200006162986</v>
      </c>
    </row>
    <row r="3855" customFormat="1" spans="1:15">
      <c r="A3855">
        <v>5043</v>
      </c>
      <c r="B3855" t="s">
        <v>4356</v>
      </c>
      <c r="C3855" t="str">
        <f>"460005199911163221"</f>
        <v>460005199911163221</v>
      </c>
      <c r="D3855" t="str">
        <f>"248030403817"</f>
        <v>248030403817</v>
      </c>
      <c r="L3855">
        <v>5043</v>
      </c>
      <c r="M3855" t="s">
        <v>4356</v>
      </c>
      <c r="N3855" t="str">
        <f>"248030403817"</f>
        <v>248030403817</v>
      </c>
      <c r="O3855" t="str">
        <f>"460005199911163221"</f>
        <v>460005199911163221</v>
      </c>
    </row>
    <row r="3856" customFormat="1" spans="1:15">
      <c r="A3856">
        <v>5045</v>
      </c>
      <c r="B3856" t="s">
        <v>4357</v>
      </c>
      <c r="C3856" t="str">
        <f>"46010320020630244X"</f>
        <v>46010320020630244X</v>
      </c>
      <c r="D3856" t="str">
        <f>"248030400720"</f>
        <v>248030400720</v>
      </c>
      <c r="L3856">
        <v>5045</v>
      </c>
      <c r="M3856" t="s">
        <v>4357</v>
      </c>
      <c r="N3856" t="str">
        <f>"248030400720"</f>
        <v>248030400720</v>
      </c>
      <c r="O3856" t="str">
        <f>"46010320020630244X"</f>
        <v>46010320020630244X</v>
      </c>
    </row>
    <row r="3857" customFormat="1" spans="1:15">
      <c r="A3857">
        <v>5046</v>
      </c>
      <c r="B3857" t="s">
        <v>4358</v>
      </c>
      <c r="C3857" t="str">
        <f>"460004200111230026"</f>
        <v>460004200111230026</v>
      </c>
      <c r="D3857" t="str">
        <f>"248030102015"</f>
        <v>248030102015</v>
      </c>
      <c r="L3857">
        <v>5046</v>
      </c>
      <c r="M3857" t="s">
        <v>4358</v>
      </c>
      <c r="N3857" t="str">
        <f>"248030102015"</f>
        <v>248030102015</v>
      </c>
      <c r="O3857" t="str">
        <f>"460004200111230026"</f>
        <v>460004200111230026</v>
      </c>
    </row>
    <row r="3858" customFormat="1" spans="1:15">
      <c r="A3858">
        <v>5047</v>
      </c>
      <c r="B3858" t="s">
        <v>4359</v>
      </c>
      <c r="C3858" t="str">
        <f>"460102199801290920"</f>
        <v>460102199801290920</v>
      </c>
      <c r="D3858" t="str">
        <f>"248030102006"</f>
        <v>248030102006</v>
      </c>
      <c r="L3858">
        <v>5047</v>
      </c>
      <c r="M3858" t="s">
        <v>4359</v>
      </c>
      <c r="N3858" t="str">
        <f>"248030102006"</f>
        <v>248030102006</v>
      </c>
      <c r="O3858" t="str">
        <f>"460102199801290920"</f>
        <v>460102199801290920</v>
      </c>
    </row>
    <row r="3859" customFormat="1" spans="1:15">
      <c r="A3859">
        <v>5048</v>
      </c>
      <c r="B3859" t="s">
        <v>4360</v>
      </c>
      <c r="C3859" t="str">
        <f>"460007200105300461"</f>
        <v>460007200105300461</v>
      </c>
      <c r="D3859" t="str">
        <f>"248030301206"</f>
        <v>248030301206</v>
      </c>
      <c r="L3859">
        <v>5048</v>
      </c>
      <c r="M3859" t="s">
        <v>4360</v>
      </c>
      <c r="N3859" t="str">
        <f>"248030301206"</f>
        <v>248030301206</v>
      </c>
      <c r="O3859" t="str">
        <f>"460007200105300461"</f>
        <v>460007200105300461</v>
      </c>
    </row>
    <row r="3860" customFormat="1" spans="1:15">
      <c r="A3860">
        <v>5049</v>
      </c>
      <c r="B3860" t="s">
        <v>4361</v>
      </c>
      <c r="C3860" t="str">
        <f>"460004199509212420"</f>
        <v>460004199509212420</v>
      </c>
      <c r="D3860" t="str">
        <f>"248030300302"</f>
        <v>248030300302</v>
      </c>
      <c r="L3860">
        <v>5049</v>
      </c>
      <c r="M3860" t="s">
        <v>4361</v>
      </c>
      <c r="N3860" t="str">
        <f>"248030300302"</f>
        <v>248030300302</v>
      </c>
      <c r="O3860" t="str">
        <f>"460004199509212420"</f>
        <v>460004199509212420</v>
      </c>
    </row>
    <row r="3861" customFormat="1" spans="1:15">
      <c r="A3861">
        <v>5050</v>
      </c>
      <c r="B3861" t="s">
        <v>4362</v>
      </c>
      <c r="C3861" t="str">
        <f>"460027199801141329"</f>
        <v>460027199801141329</v>
      </c>
      <c r="D3861" t="str">
        <f>"248030400117"</f>
        <v>248030400117</v>
      </c>
      <c r="L3861">
        <v>5050</v>
      </c>
      <c r="M3861" t="s">
        <v>4362</v>
      </c>
      <c r="N3861" t="str">
        <f>"248030400117"</f>
        <v>248030400117</v>
      </c>
      <c r="O3861" t="str">
        <f>"460027199801141329"</f>
        <v>460027199801141329</v>
      </c>
    </row>
    <row r="3862" customFormat="1" spans="1:15">
      <c r="A3862">
        <v>5051</v>
      </c>
      <c r="B3862" t="s">
        <v>4363</v>
      </c>
      <c r="C3862" t="str">
        <f>"469024199806240448"</f>
        <v>469024199806240448</v>
      </c>
      <c r="D3862" t="str">
        <f>"248030100501"</f>
        <v>248030100501</v>
      </c>
      <c r="L3862">
        <v>5051</v>
      </c>
      <c r="M3862" t="s">
        <v>4363</v>
      </c>
      <c r="N3862" t="str">
        <f>"248030100501"</f>
        <v>248030100501</v>
      </c>
      <c r="O3862" t="str">
        <f>"469024199806240448"</f>
        <v>469024199806240448</v>
      </c>
    </row>
    <row r="3863" customFormat="1" spans="1:15">
      <c r="A3863">
        <v>5052</v>
      </c>
      <c r="B3863" t="s">
        <v>4364</v>
      </c>
      <c r="C3863" t="str">
        <f>"460104200007080326"</f>
        <v>460104200007080326</v>
      </c>
      <c r="D3863" t="str">
        <f>"248030202521"</f>
        <v>248030202521</v>
      </c>
      <c r="L3863">
        <v>5052</v>
      </c>
      <c r="M3863" t="s">
        <v>4364</v>
      </c>
      <c r="N3863" t="str">
        <f>"248030202521"</f>
        <v>248030202521</v>
      </c>
      <c r="O3863" t="str">
        <f>"460104200007080326"</f>
        <v>460104200007080326</v>
      </c>
    </row>
    <row r="3864" customFormat="1" spans="1:15">
      <c r="A3864">
        <v>5053</v>
      </c>
      <c r="B3864" t="s">
        <v>4365</v>
      </c>
      <c r="C3864" t="str">
        <f>"460006200105154410"</f>
        <v>460006200105154410</v>
      </c>
      <c r="D3864" t="str">
        <f>"248030201920"</f>
        <v>248030201920</v>
      </c>
      <c r="L3864">
        <v>5053</v>
      </c>
      <c r="M3864" t="s">
        <v>4365</v>
      </c>
      <c r="N3864" t="str">
        <f>"248030201920"</f>
        <v>248030201920</v>
      </c>
      <c r="O3864" t="str">
        <f>"460006200105154410"</f>
        <v>460006200105154410</v>
      </c>
    </row>
    <row r="3865" customFormat="1" spans="1:15">
      <c r="A3865">
        <v>5055</v>
      </c>
      <c r="B3865" t="s">
        <v>4366</v>
      </c>
      <c r="C3865" t="str">
        <f>"460002199809281222"</f>
        <v>460002199809281222</v>
      </c>
      <c r="D3865" t="str">
        <f>"248030102405"</f>
        <v>248030102405</v>
      </c>
      <c r="L3865">
        <v>5055</v>
      </c>
      <c r="M3865" t="s">
        <v>4366</v>
      </c>
      <c r="N3865" t="str">
        <f>"248030102405"</f>
        <v>248030102405</v>
      </c>
      <c r="O3865" t="str">
        <f>"460002199809281222"</f>
        <v>460002199809281222</v>
      </c>
    </row>
    <row r="3866" customFormat="1" spans="1:15">
      <c r="A3866">
        <v>5056</v>
      </c>
      <c r="B3866" t="s">
        <v>720</v>
      </c>
      <c r="C3866" t="str">
        <f>"460026199807015124"</f>
        <v>460026199807015124</v>
      </c>
      <c r="D3866" t="str">
        <f>"248030402807"</f>
        <v>248030402807</v>
      </c>
      <c r="L3866">
        <v>5056</v>
      </c>
      <c r="M3866" t="s">
        <v>720</v>
      </c>
      <c r="N3866" t="str">
        <f>"248030402807"</f>
        <v>248030402807</v>
      </c>
      <c r="O3866" t="str">
        <f>"460026199807015124"</f>
        <v>460026199807015124</v>
      </c>
    </row>
    <row r="3867" customFormat="1" spans="1:15">
      <c r="A3867">
        <v>5057</v>
      </c>
      <c r="B3867" t="s">
        <v>4367</v>
      </c>
      <c r="C3867" t="str">
        <f>"460033200006014809"</f>
        <v>460033200006014809</v>
      </c>
      <c r="L3867">
        <v>5057</v>
      </c>
      <c r="M3867" t="s">
        <v>4367</v>
      </c>
      <c r="O3867" t="str">
        <f>"460033200006014809"</f>
        <v>460033200006014809</v>
      </c>
    </row>
    <row r="3868" customFormat="1" spans="1:15">
      <c r="A3868">
        <v>5058</v>
      </c>
      <c r="B3868" t="s">
        <v>4368</v>
      </c>
      <c r="C3868" t="str">
        <f>"46000620000208232X"</f>
        <v>46000620000208232X</v>
      </c>
      <c r="D3868" t="str">
        <f>"248030500307"</f>
        <v>248030500307</v>
      </c>
      <c r="L3868">
        <v>5058</v>
      </c>
      <c r="M3868" t="s">
        <v>4368</v>
      </c>
      <c r="N3868" t="str">
        <f>"248030500307"</f>
        <v>248030500307</v>
      </c>
      <c r="O3868" t="str">
        <f>"46000620000208232X"</f>
        <v>46000620000208232X</v>
      </c>
    </row>
    <row r="3869" customFormat="1" spans="1:15">
      <c r="A3869">
        <v>5060</v>
      </c>
      <c r="B3869" t="s">
        <v>4369</v>
      </c>
      <c r="C3869" t="str">
        <f>"460028199805212821"</f>
        <v>460028199805212821</v>
      </c>
      <c r="D3869" t="str">
        <f>"248030203618"</f>
        <v>248030203618</v>
      </c>
      <c r="L3869">
        <v>5060</v>
      </c>
      <c r="M3869" t="s">
        <v>4369</v>
      </c>
      <c r="N3869" t="str">
        <f>"248030203618"</f>
        <v>248030203618</v>
      </c>
      <c r="O3869" t="str">
        <f>"460028199805212821"</f>
        <v>460028199805212821</v>
      </c>
    </row>
    <row r="3870" customFormat="1" spans="1:15">
      <c r="A3870">
        <v>5061</v>
      </c>
      <c r="B3870" t="s">
        <v>4370</v>
      </c>
      <c r="C3870" t="str">
        <f>"460104199007210922"</f>
        <v>460104199007210922</v>
      </c>
      <c r="D3870" t="str">
        <f>"248030104305"</f>
        <v>248030104305</v>
      </c>
      <c r="L3870">
        <v>5061</v>
      </c>
      <c r="M3870" t="s">
        <v>4370</v>
      </c>
      <c r="N3870" t="str">
        <f>"248030104305"</f>
        <v>248030104305</v>
      </c>
      <c r="O3870" t="str">
        <f>"460104199007210922"</f>
        <v>460104199007210922</v>
      </c>
    </row>
    <row r="3871" customFormat="1" spans="1:15">
      <c r="A3871">
        <v>5062</v>
      </c>
      <c r="B3871" t="s">
        <v>4371</v>
      </c>
      <c r="C3871" t="str">
        <f>"469007199910037224"</f>
        <v>469007199910037224</v>
      </c>
      <c r="L3871">
        <v>5062</v>
      </c>
      <c r="M3871" t="s">
        <v>4371</v>
      </c>
      <c r="O3871" t="str">
        <f>"469007199910037224"</f>
        <v>469007199910037224</v>
      </c>
    </row>
    <row r="3872" customFormat="1" spans="1:15">
      <c r="A3872">
        <v>5063</v>
      </c>
      <c r="B3872" t="s">
        <v>4372</v>
      </c>
      <c r="C3872" t="str">
        <f>"460200199602180027"</f>
        <v>460200199602180027</v>
      </c>
      <c r="D3872" t="str">
        <f>"248030100304"</f>
        <v>248030100304</v>
      </c>
      <c r="L3872">
        <v>5063</v>
      </c>
      <c r="M3872" t="s">
        <v>4372</v>
      </c>
      <c r="N3872" t="str">
        <f>"248030100304"</f>
        <v>248030100304</v>
      </c>
      <c r="O3872" t="str">
        <f>"460200199602180027"</f>
        <v>460200199602180027</v>
      </c>
    </row>
    <row r="3873" customFormat="1" spans="1:15">
      <c r="A3873">
        <v>5064</v>
      </c>
      <c r="B3873" t="s">
        <v>4373</v>
      </c>
      <c r="C3873" t="str">
        <f>"460004199007020269"</f>
        <v>460004199007020269</v>
      </c>
      <c r="L3873">
        <v>5064</v>
      </c>
      <c r="M3873" t="s">
        <v>4373</v>
      </c>
      <c r="O3873" t="str">
        <f>"460004199007020269"</f>
        <v>460004199007020269</v>
      </c>
    </row>
    <row r="3874" customFormat="1" spans="1:15">
      <c r="A3874">
        <v>5065</v>
      </c>
      <c r="B3874" t="s">
        <v>4374</v>
      </c>
      <c r="C3874" t="str">
        <f>"46000520001110052X"</f>
        <v>46000520001110052X</v>
      </c>
      <c r="D3874" t="str">
        <f>"248030501304"</f>
        <v>248030501304</v>
      </c>
      <c r="L3874">
        <v>5065</v>
      </c>
      <c r="M3874" t="s">
        <v>4374</v>
      </c>
      <c r="N3874" t="str">
        <f>"248030501304"</f>
        <v>248030501304</v>
      </c>
      <c r="O3874" t="str">
        <f>"46000520001110052X"</f>
        <v>46000520001110052X</v>
      </c>
    </row>
    <row r="3875" customFormat="1" spans="1:15">
      <c r="A3875">
        <v>5066</v>
      </c>
      <c r="B3875" t="s">
        <v>4375</v>
      </c>
      <c r="C3875" t="str">
        <f>"511724200110064387"</f>
        <v>511724200110064387</v>
      </c>
      <c r="D3875" t="str">
        <f>"248030102921"</f>
        <v>248030102921</v>
      </c>
      <c r="L3875">
        <v>5066</v>
      </c>
      <c r="M3875" t="s">
        <v>4375</v>
      </c>
      <c r="N3875" t="str">
        <f>"248030102921"</f>
        <v>248030102921</v>
      </c>
      <c r="O3875" t="str">
        <f>"511724200110064387"</f>
        <v>511724200110064387</v>
      </c>
    </row>
    <row r="3876" customFormat="1" spans="1:15">
      <c r="A3876">
        <v>5067</v>
      </c>
      <c r="B3876" t="s">
        <v>4376</v>
      </c>
      <c r="C3876" t="str">
        <f>"460003199805062686"</f>
        <v>460003199805062686</v>
      </c>
      <c r="D3876" t="str">
        <f>"248030402924"</f>
        <v>248030402924</v>
      </c>
      <c r="L3876">
        <v>5067</v>
      </c>
      <c r="M3876" t="s">
        <v>4376</v>
      </c>
      <c r="N3876" t="str">
        <f>"248030402924"</f>
        <v>248030402924</v>
      </c>
      <c r="O3876" t="str">
        <f>"460003199805062686"</f>
        <v>460003199805062686</v>
      </c>
    </row>
    <row r="3877" customFormat="1" spans="1:15">
      <c r="A3877">
        <v>5068</v>
      </c>
      <c r="B3877" t="s">
        <v>4377</v>
      </c>
      <c r="C3877" t="str">
        <f>"460002200201160313"</f>
        <v>460002200201160313</v>
      </c>
      <c r="D3877" t="str">
        <f>"248030202026"</f>
        <v>248030202026</v>
      </c>
      <c r="L3877">
        <v>5068</v>
      </c>
      <c r="M3877" t="s">
        <v>4377</v>
      </c>
      <c r="N3877" t="str">
        <f>"248030202026"</f>
        <v>248030202026</v>
      </c>
      <c r="O3877" t="str">
        <f>"460002200201160313"</f>
        <v>460002200201160313</v>
      </c>
    </row>
    <row r="3878" customFormat="1" spans="1:15">
      <c r="A3878">
        <v>5069</v>
      </c>
      <c r="B3878" t="s">
        <v>4378</v>
      </c>
      <c r="C3878" t="str">
        <f>"431202199906110827"</f>
        <v>431202199906110827</v>
      </c>
      <c r="D3878" t="str">
        <f>"248030501804"</f>
        <v>248030501804</v>
      </c>
      <c r="L3878">
        <v>5069</v>
      </c>
      <c r="M3878" t="s">
        <v>4378</v>
      </c>
      <c r="N3878" t="str">
        <f>"248030501804"</f>
        <v>248030501804</v>
      </c>
      <c r="O3878" t="str">
        <f>"431202199906110827"</f>
        <v>431202199906110827</v>
      </c>
    </row>
    <row r="3879" customFormat="1" spans="1:15">
      <c r="A3879">
        <v>5070</v>
      </c>
      <c r="B3879" t="s">
        <v>4379</v>
      </c>
      <c r="C3879" t="str">
        <f>"460004200207130820"</f>
        <v>460004200207130820</v>
      </c>
      <c r="D3879" t="str">
        <f>"248030101717"</f>
        <v>248030101717</v>
      </c>
      <c r="L3879">
        <v>5070</v>
      </c>
      <c r="M3879" t="s">
        <v>4379</v>
      </c>
      <c r="N3879" t="str">
        <f>"248030101717"</f>
        <v>248030101717</v>
      </c>
      <c r="O3879" t="str">
        <f>"460004200207130820"</f>
        <v>460004200207130820</v>
      </c>
    </row>
    <row r="3880" customFormat="1" spans="1:15">
      <c r="A3880">
        <v>5071</v>
      </c>
      <c r="B3880" t="s">
        <v>4380</v>
      </c>
      <c r="C3880" t="str">
        <f>"460026199906010943"</f>
        <v>460026199906010943</v>
      </c>
      <c r="D3880" t="str">
        <f>"248030503719"</f>
        <v>248030503719</v>
      </c>
      <c r="L3880">
        <v>5071</v>
      </c>
      <c r="M3880" t="s">
        <v>4380</v>
      </c>
      <c r="N3880" t="str">
        <f>"248030503719"</f>
        <v>248030503719</v>
      </c>
      <c r="O3880" t="str">
        <f>"460026199906010943"</f>
        <v>460026199906010943</v>
      </c>
    </row>
    <row r="3881" customFormat="1" spans="1:15">
      <c r="A3881">
        <v>5072</v>
      </c>
      <c r="B3881" t="s">
        <v>4381</v>
      </c>
      <c r="C3881" t="str">
        <f>"46900320020503372X"</f>
        <v>46900320020503372X</v>
      </c>
      <c r="D3881" t="str">
        <f>"248030403027"</f>
        <v>248030403027</v>
      </c>
      <c r="L3881">
        <v>5072</v>
      </c>
      <c r="M3881" t="s">
        <v>4381</v>
      </c>
      <c r="N3881" t="str">
        <f>"248030403027"</f>
        <v>248030403027</v>
      </c>
      <c r="O3881" t="str">
        <f>"46900320020503372X"</f>
        <v>46900320020503372X</v>
      </c>
    </row>
    <row r="3882" customFormat="1" spans="1:15">
      <c r="A3882">
        <v>5073</v>
      </c>
      <c r="B3882" t="s">
        <v>4382</v>
      </c>
      <c r="C3882" t="str">
        <f>"152103200003210317"</f>
        <v>152103200003210317</v>
      </c>
      <c r="D3882" t="str">
        <f>"248030202323"</f>
        <v>248030202323</v>
      </c>
      <c r="L3882">
        <v>5073</v>
      </c>
      <c r="M3882" t="s">
        <v>4382</v>
      </c>
      <c r="N3882" t="str">
        <f>"248030202323"</f>
        <v>248030202323</v>
      </c>
      <c r="O3882" t="str">
        <f>"152103200003210317"</f>
        <v>152103200003210317</v>
      </c>
    </row>
    <row r="3883" customFormat="1" spans="1:15">
      <c r="A3883">
        <v>5074</v>
      </c>
      <c r="B3883" t="s">
        <v>4383</v>
      </c>
      <c r="C3883" t="str">
        <f>"460004199509215226"</f>
        <v>460004199509215226</v>
      </c>
      <c r="D3883" t="str">
        <f>"248030200320"</f>
        <v>248030200320</v>
      </c>
      <c r="L3883">
        <v>5074</v>
      </c>
      <c r="M3883" t="s">
        <v>4383</v>
      </c>
      <c r="N3883" t="str">
        <f>"248030200320"</f>
        <v>248030200320</v>
      </c>
      <c r="O3883" t="str">
        <f>"460004199509215226"</f>
        <v>460004199509215226</v>
      </c>
    </row>
    <row r="3884" customFormat="1" spans="1:15">
      <c r="A3884">
        <v>5075</v>
      </c>
      <c r="B3884" t="s">
        <v>4384</v>
      </c>
      <c r="C3884" t="str">
        <f>"460025199605152124"</f>
        <v>460025199605152124</v>
      </c>
      <c r="D3884" t="str">
        <f>"248030501405"</f>
        <v>248030501405</v>
      </c>
      <c r="L3884">
        <v>5075</v>
      </c>
      <c r="M3884" t="s">
        <v>4384</v>
      </c>
      <c r="N3884" t="str">
        <f>"248030501405"</f>
        <v>248030501405</v>
      </c>
      <c r="O3884" t="str">
        <f>"460025199605152124"</f>
        <v>460025199605152124</v>
      </c>
    </row>
    <row r="3885" customFormat="1" spans="1:15">
      <c r="A3885">
        <v>5076</v>
      </c>
      <c r="B3885" t="s">
        <v>4385</v>
      </c>
      <c r="C3885" t="str">
        <f>"460005200008131923"</f>
        <v>460005200008131923</v>
      </c>
      <c r="D3885" t="str">
        <f>"248030200715"</f>
        <v>248030200715</v>
      </c>
      <c r="L3885">
        <v>5076</v>
      </c>
      <c r="M3885" t="s">
        <v>4385</v>
      </c>
      <c r="N3885" t="str">
        <f>"248030200715"</f>
        <v>248030200715</v>
      </c>
      <c r="O3885" t="str">
        <f>"460005200008131923"</f>
        <v>460005200008131923</v>
      </c>
    </row>
    <row r="3886" customFormat="1" spans="1:15">
      <c r="A3886">
        <v>5077</v>
      </c>
      <c r="B3886" t="s">
        <v>4386</v>
      </c>
      <c r="C3886" t="str">
        <f>"460003199011142422"</f>
        <v>460003199011142422</v>
      </c>
      <c r="D3886" t="str">
        <f>"248030502223"</f>
        <v>248030502223</v>
      </c>
      <c r="L3886">
        <v>5077</v>
      </c>
      <c r="M3886" t="s">
        <v>4386</v>
      </c>
      <c r="N3886" t="str">
        <f>"248030502223"</f>
        <v>248030502223</v>
      </c>
      <c r="O3886" t="str">
        <f>"460003199011142422"</f>
        <v>460003199011142422</v>
      </c>
    </row>
    <row r="3887" customFormat="1" spans="1:15">
      <c r="A3887">
        <v>5078</v>
      </c>
      <c r="B3887" t="s">
        <v>4387</v>
      </c>
      <c r="C3887" t="str">
        <f>"460004199708095263"</f>
        <v>460004199708095263</v>
      </c>
      <c r="L3887">
        <v>5078</v>
      </c>
      <c r="M3887" t="s">
        <v>4387</v>
      </c>
      <c r="O3887" t="str">
        <f>"460004199708095263"</f>
        <v>460004199708095263</v>
      </c>
    </row>
    <row r="3888" customFormat="1" spans="1:15">
      <c r="A3888">
        <v>5079</v>
      </c>
      <c r="B3888" t="s">
        <v>4388</v>
      </c>
      <c r="C3888" t="str">
        <f>"460003200201223229"</f>
        <v>460003200201223229</v>
      </c>
      <c r="D3888" t="str">
        <f>"248030301318"</f>
        <v>248030301318</v>
      </c>
      <c r="L3888">
        <v>5079</v>
      </c>
      <c r="M3888" t="s">
        <v>4388</v>
      </c>
      <c r="N3888" t="str">
        <f>"248030301318"</f>
        <v>248030301318</v>
      </c>
      <c r="O3888" t="str">
        <f>"460003200201223229"</f>
        <v>460003200201223229</v>
      </c>
    </row>
    <row r="3889" customFormat="1" spans="1:15">
      <c r="A3889">
        <v>5080</v>
      </c>
      <c r="B3889" t="s">
        <v>4389</v>
      </c>
      <c r="C3889" t="str">
        <f>"469023200009197925"</f>
        <v>469023200009197925</v>
      </c>
      <c r="D3889" t="str">
        <f>"248030103115"</f>
        <v>248030103115</v>
      </c>
      <c r="L3889">
        <v>5080</v>
      </c>
      <c r="M3889" t="s">
        <v>4389</v>
      </c>
      <c r="N3889" t="str">
        <f>"248030103115"</f>
        <v>248030103115</v>
      </c>
      <c r="O3889" t="str">
        <f>"469023200009197925"</f>
        <v>469023200009197925</v>
      </c>
    </row>
    <row r="3890" customFormat="1" spans="1:15">
      <c r="A3890">
        <v>5082</v>
      </c>
      <c r="B3890" t="s">
        <v>4390</v>
      </c>
      <c r="C3890" t="str">
        <f>"460007199712107246"</f>
        <v>460007199712107246</v>
      </c>
      <c r="D3890" t="str">
        <f>"248030403803"</f>
        <v>248030403803</v>
      </c>
      <c r="L3890">
        <v>5082</v>
      </c>
      <c r="M3890" t="s">
        <v>4390</v>
      </c>
      <c r="N3890" t="str">
        <f>"248030403803"</f>
        <v>248030403803</v>
      </c>
      <c r="O3890" t="str">
        <f>"460007199712107246"</f>
        <v>460007199712107246</v>
      </c>
    </row>
    <row r="3891" customFormat="1" spans="1:15">
      <c r="A3891">
        <v>5083</v>
      </c>
      <c r="B3891" t="s">
        <v>4391</v>
      </c>
      <c r="C3891" t="str">
        <f>"460006199506300225"</f>
        <v>460006199506300225</v>
      </c>
      <c r="D3891" t="str">
        <f>"248030104715"</f>
        <v>248030104715</v>
      </c>
      <c r="L3891">
        <v>5083</v>
      </c>
      <c r="M3891" t="s">
        <v>4391</v>
      </c>
      <c r="N3891" t="str">
        <f>"248030104715"</f>
        <v>248030104715</v>
      </c>
      <c r="O3891" t="str">
        <f>"460006199506300225"</f>
        <v>460006199506300225</v>
      </c>
    </row>
    <row r="3892" customFormat="1" spans="1:15">
      <c r="A3892">
        <v>5084</v>
      </c>
      <c r="B3892" t="s">
        <v>4392</v>
      </c>
      <c r="C3892" t="str">
        <f>"331082199903039065"</f>
        <v>331082199903039065</v>
      </c>
      <c r="D3892" t="str">
        <f>"248030202808"</f>
        <v>248030202808</v>
      </c>
      <c r="L3892">
        <v>5084</v>
      </c>
      <c r="M3892" t="s">
        <v>4392</v>
      </c>
      <c r="N3892" t="str">
        <f>"248030202808"</f>
        <v>248030202808</v>
      </c>
      <c r="O3892" t="str">
        <f>"331082199903039065"</f>
        <v>331082199903039065</v>
      </c>
    </row>
    <row r="3893" customFormat="1" spans="1:15">
      <c r="A3893">
        <v>5085</v>
      </c>
      <c r="B3893" t="s">
        <v>4393</v>
      </c>
      <c r="C3893" t="str">
        <f>"231024199507171032"</f>
        <v>231024199507171032</v>
      </c>
      <c r="D3893" t="str">
        <f>"248030200214"</f>
        <v>248030200214</v>
      </c>
      <c r="L3893">
        <v>5085</v>
      </c>
      <c r="M3893" t="s">
        <v>4393</v>
      </c>
      <c r="N3893" t="str">
        <f>"248030200214"</f>
        <v>248030200214</v>
      </c>
      <c r="O3893" t="str">
        <f>"231024199507171032"</f>
        <v>231024199507171032</v>
      </c>
    </row>
    <row r="3894" customFormat="1" spans="1:15">
      <c r="A3894">
        <v>5086</v>
      </c>
      <c r="B3894" t="s">
        <v>4394</v>
      </c>
      <c r="C3894" t="str">
        <f>"469028200203120421"</f>
        <v>469028200203120421</v>
      </c>
      <c r="D3894" t="str">
        <f>"248030101114"</f>
        <v>248030101114</v>
      </c>
      <c r="L3894">
        <v>5086</v>
      </c>
      <c r="M3894" t="s">
        <v>4394</v>
      </c>
      <c r="N3894" t="str">
        <f>"248030101114"</f>
        <v>248030101114</v>
      </c>
      <c r="O3894" t="str">
        <f>"469028200203120421"</f>
        <v>469028200203120421</v>
      </c>
    </row>
    <row r="3895" customFormat="1" spans="1:15">
      <c r="A3895">
        <v>5087</v>
      </c>
      <c r="B3895" t="s">
        <v>4395</v>
      </c>
      <c r="C3895" t="str">
        <f>"460003200012057647"</f>
        <v>460003200012057647</v>
      </c>
      <c r="D3895" t="str">
        <f>"248030200906"</f>
        <v>248030200906</v>
      </c>
      <c r="L3895">
        <v>5087</v>
      </c>
      <c r="M3895" t="s">
        <v>4395</v>
      </c>
      <c r="N3895" t="str">
        <f>"248030200906"</f>
        <v>248030200906</v>
      </c>
      <c r="O3895" t="str">
        <f>"460003200012057647"</f>
        <v>460003200012057647</v>
      </c>
    </row>
    <row r="3896" customFormat="1" spans="1:15">
      <c r="A3896">
        <v>5088</v>
      </c>
      <c r="B3896" t="s">
        <v>4396</v>
      </c>
      <c r="C3896" t="str">
        <f>"411481200103209629"</f>
        <v>411481200103209629</v>
      </c>
      <c r="L3896">
        <v>5088</v>
      </c>
      <c r="M3896" t="s">
        <v>4396</v>
      </c>
      <c r="O3896" t="str">
        <f>"411481200103209629"</f>
        <v>411481200103209629</v>
      </c>
    </row>
    <row r="3897" customFormat="1" spans="1:15">
      <c r="A3897">
        <v>5089</v>
      </c>
      <c r="B3897" t="s">
        <v>4397</v>
      </c>
      <c r="C3897" t="str">
        <f>"469003200011013528"</f>
        <v>469003200011013528</v>
      </c>
      <c r="D3897" t="str">
        <f>"248030401514"</f>
        <v>248030401514</v>
      </c>
      <c r="L3897">
        <v>5089</v>
      </c>
      <c r="M3897" t="s">
        <v>4397</v>
      </c>
      <c r="N3897" t="str">
        <f>"248030401514"</f>
        <v>248030401514</v>
      </c>
      <c r="O3897" t="str">
        <f>"469003200011013528"</f>
        <v>469003200011013528</v>
      </c>
    </row>
    <row r="3898" customFormat="1" spans="1:15">
      <c r="A3898">
        <v>5090</v>
      </c>
      <c r="B3898" t="s">
        <v>4398</v>
      </c>
      <c r="C3898" t="str">
        <f>"460004199510110843"</f>
        <v>460004199510110843</v>
      </c>
      <c r="D3898" t="str">
        <f>"248030101519"</f>
        <v>248030101519</v>
      </c>
      <c r="L3898">
        <v>5090</v>
      </c>
      <c r="M3898" t="s">
        <v>4398</v>
      </c>
      <c r="N3898" t="str">
        <f>"248030101519"</f>
        <v>248030101519</v>
      </c>
      <c r="O3898" t="str">
        <f>"460004199510110843"</f>
        <v>460004199510110843</v>
      </c>
    </row>
    <row r="3899" customFormat="1" spans="1:15">
      <c r="A3899">
        <v>5091</v>
      </c>
      <c r="B3899" t="s">
        <v>4399</v>
      </c>
      <c r="C3899" t="str">
        <f>"460021199509114421"</f>
        <v>460021199509114421</v>
      </c>
      <c r="D3899" t="str">
        <f>"248030100618"</f>
        <v>248030100618</v>
      </c>
      <c r="L3899">
        <v>5091</v>
      </c>
      <c r="M3899" t="s">
        <v>4399</v>
      </c>
      <c r="N3899" t="str">
        <f>"248030100618"</f>
        <v>248030100618</v>
      </c>
      <c r="O3899" t="str">
        <f>"460021199509114421"</f>
        <v>460021199509114421</v>
      </c>
    </row>
    <row r="3900" customFormat="1" spans="1:15">
      <c r="A3900">
        <v>5092</v>
      </c>
      <c r="B3900" t="s">
        <v>4400</v>
      </c>
      <c r="C3900" t="str">
        <f>"620523199806200043"</f>
        <v>620523199806200043</v>
      </c>
      <c r="L3900">
        <v>5092</v>
      </c>
      <c r="M3900" t="s">
        <v>4400</v>
      </c>
      <c r="O3900" t="str">
        <f>"620523199806200043"</f>
        <v>620523199806200043</v>
      </c>
    </row>
    <row r="3901" customFormat="1" spans="1:15">
      <c r="A3901">
        <v>5093</v>
      </c>
      <c r="B3901" t="s">
        <v>4401</v>
      </c>
      <c r="C3901" t="str">
        <f>"460003199906112443"</f>
        <v>460003199906112443</v>
      </c>
      <c r="L3901">
        <v>5093</v>
      </c>
      <c r="M3901" t="s">
        <v>4401</v>
      </c>
      <c r="O3901" t="str">
        <f>"460003199906112443"</f>
        <v>460003199906112443</v>
      </c>
    </row>
    <row r="3902" customFormat="1" spans="1:15">
      <c r="A3902">
        <v>5095</v>
      </c>
      <c r="B3902" t="s">
        <v>4402</v>
      </c>
      <c r="C3902" t="str">
        <f>"460027199607011328"</f>
        <v>460027199607011328</v>
      </c>
      <c r="D3902" t="str">
        <f>"248030502207"</f>
        <v>248030502207</v>
      </c>
      <c r="L3902">
        <v>5095</v>
      </c>
      <c r="M3902" t="s">
        <v>4402</v>
      </c>
      <c r="N3902" t="str">
        <f>"248030502207"</f>
        <v>248030502207</v>
      </c>
      <c r="O3902" t="str">
        <f>"460027199607011328"</f>
        <v>460027199607011328</v>
      </c>
    </row>
    <row r="3903" customFormat="1" spans="1:15">
      <c r="A3903">
        <v>5096</v>
      </c>
      <c r="B3903" t="s">
        <v>4403</v>
      </c>
      <c r="C3903" t="str">
        <f>"46000620010429872X"</f>
        <v>46000620010429872X</v>
      </c>
      <c r="D3903" t="str">
        <f>"248030502302"</f>
        <v>248030502302</v>
      </c>
      <c r="L3903">
        <v>5096</v>
      </c>
      <c r="M3903" t="s">
        <v>4403</v>
      </c>
      <c r="N3903" t="str">
        <f>"248030502302"</f>
        <v>248030502302</v>
      </c>
      <c r="O3903" t="str">
        <f>"46000620010429872X"</f>
        <v>46000620010429872X</v>
      </c>
    </row>
    <row r="3904" customFormat="1" spans="1:15">
      <c r="A3904">
        <v>5097</v>
      </c>
      <c r="B3904" t="s">
        <v>4404</v>
      </c>
      <c r="C3904" t="str">
        <f>"460006200004055229"</f>
        <v>460006200004055229</v>
      </c>
      <c r="D3904" t="str">
        <f>"248030103219"</f>
        <v>248030103219</v>
      </c>
      <c r="L3904">
        <v>5097</v>
      </c>
      <c r="M3904" t="s">
        <v>4404</v>
      </c>
      <c r="N3904" t="str">
        <f>"248030103219"</f>
        <v>248030103219</v>
      </c>
      <c r="O3904" t="str">
        <f>"460006200004055229"</f>
        <v>460006200004055229</v>
      </c>
    </row>
    <row r="3905" customFormat="1" spans="1:15">
      <c r="A3905">
        <v>5099</v>
      </c>
      <c r="B3905" t="s">
        <v>4405</v>
      </c>
      <c r="C3905" t="str">
        <f>"46010219950717032X"</f>
        <v>46010219950717032X</v>
      </c>
      <c r="D3905" t="str">
        <f>"248030501325"</f>
        <v>248030501325</v>
      </c>
      <c r="L3905">
        <v>5099</v>
      </c>
      <c r="M3905" t="s">
        <v>4405</v>
      </c>
      <c r="N3905" t="str">
        <f>"248030501325"</f>
        <v>248030501325</v>
      </c>
      <c r="O3905" t="str">
        <f>"46010219950717032X"</f>
        <v>46010219950717032X</v>
      </c>
    </row>
    <row r="3906" customFormat="1" spans="1:15">
      <c r="A3906">
        <v>5100</v>
      </c>
      <c r="B3906" t="s">
        <v>4406</v>
      </c>
      <c r="C3906" t="str">
        <f>"460028199702231245"</f>
        <v>460028199702231245</v>
      </c>
      <c r="D3906" t="str">
        <f>"248030404311"</f>
        <v>248030404311</v>
      </c>
      <c r="L3906">
        <v>5100</v>
      </c>
      <c r="M3906" t="s">
        <v>4406</v>
      </c>
      <c r="N3906" t="str">
        <f>"248030404311"</f>
        <v>248030404311</v>
      </c>
      <c r="O3906" t="str">
        <f>"460028199702231245"</f>
        <v>460028199702231245</v>
      </c>
    </row>
    <row r="3907" customFormat="1" spans="1:15">
      <c r="A3907">
        <v>5101</v>
      </c>
      <c r="B3907" t="s">
        <v>4407</v>
      </c>
      <c r="C3907" t="str">
        <f>"460033200102184779"</f>
        <v>460033200102184779</v>
      </c>
      <c r="D3907" t="str">
        <f>"248030404215"</f>
        <v>248030404215</v>
      </c>
      <c r="L3907">
        <v>5101</v>
      </c>
      <c r="M3907" t="s">
        <v>4407</v>
      </c>
      <c r="N3907" t="str">
        <f>"248030404215"</f>
        <v>248030404215</v>
      </c>
      <c r="O3907" t="str">
        <f>"460033200102184779"</f>
        <v>460033200102184779</v>
      </c>
    </row>
    <row r="3908" customFormat="1" spans="1:15">
      <c r="A3908">
        <v>5102</v>
      </c>
      <c r="B3908" t="s">
        <v>4408</v>
      </c>
      <c r="C3908" t="str">
        <f>"360281200209042146"</f>
        <v>360281200209042146</v>
      </c>
      <c r="D3908" t="str">
        <f>"248030400722"</f>
        <v>248030400722</v>
      </c>
      <c r="L3908">
        <v>5102</v>
      </c>
      <c r="M3908" t="s">
        <v>4408</v>
      </c>
      <c r="N3908" t="str">
        <f>"248030400722"</f>
        <v>248030400722</v>
      </c>
      <c r="O3908" t="str">
        <f>"360281200209042146"</f>
        <v>360281200209042146</v>
      </c>
    </row>
    <row r="3909" customFormat="1" spans="1:15">
      <c r="A3909">
        <v>5103</v>
      </c>
      <c r="B3909" t="s">
        <v>4409</v>
      </c>
      <c r="C3909" t="str">
        <f>"460004199302180820"</f>
        <v>460004199302180820</v>
      </c>
      <c r="D3909" t="str">
        <f>"248030203628"</f>
        <v>248030203628</v>
      </c>
      <c r="L3909">
        <v>5103</v>
      </c>
      <c r="M3909" t="s">
        <v>4409</v>
      </c>
      <c r="N3909" t="str">
        <f>"248030203628"</f>
        <v>248030203628</v>
      </c>
      <c r="O3909" t="str">
        <f>"460004199302180820"</f>
        <v>460004199302180820</v>
      </c>
    </row>
    <row r="3910" customFormat="1" spans="1:15">
      <c r="A3910">
        <v>5106</v>
      </c>
      <c r="B3910" t="s">
        <v>142</v>
      </c>
      <c r="C3910" t="str">
        <f>"411402199009170026"</f>
        <v>411402199009170026</v>
      </c>
      <c r="D3910" t="str">
        <f>"248030400711"</f>
        <v>248030400711</v>
      </c>
      <c r="L3910">
        <v>5106</v>
      </c>
      <c r="M3910" t="s">
        <v>142</v>
      </c>
      <c r="N3910" t="str">
        <f>"248030400711"</f>
        <v>248030400711</v>
      </c>
      <c r="O3910" t="str">
        <f>"411402199009170026"</f>
        <v>411402199009170026</v>
      </c>
    </row>
    <row r="3911" customFormat="1" spans="1:15">
      <c r="A3911">
        <v>5107</v>
      </c>
      <c r="B3911" t="s">
        <v>4410</v>
      </c>
      <c r="C3911" t="str">
        <f>"460003199609247026"</f>
        <v>460003199609247026</v>
      </c>
      <c r="L3911">
        <v>5107</v>
      </c>
      <c r="M3911" t="s">
        <v>4410</v>
      </c>
      <c r="O3911" t="str">
        <f>"460003199609247026"</f>
        <v>460003199609247026</v>
      </c>
    </row>
    <row r="3912" customFormat="1" spans="1:15">
      <c r="A3912">
        <v>5108</v>
      </c>
      <c r="B3912" t="s">
        <v>4411</v>
      </c>
      <c r="C3912" t="str">
        <f>"460027199904054420"</f>
        <v>460027199904054420</v>
      </c>
      <c r="D3912" t="str">
        <f>"248030100229"</f>
        <v>248030100229</v>
      </c>
      <c r="L3912">
        <v>5108</v>
      </c>
      <c r="M3912" t="s">
        <v>4411</v>
      </c>
      <c r="N3912" t="str">
        <f>"248030100229"</f>
        <v>248030100229</v>
      </c>
      <c r="O3912" t="str">
        <f>"460027199904054420"</f>
        <v>460027199904054420</v>
      </c>
    </row>
    <row r="3913" customFormat="1" spans="1:15">
      <c r="A3913">
        <v>5109</v>
      </c>
      <c r="B3913" t="s">
        <v>4412</v>
      </c>
      <c r="C3913" t="str">
        <f>"460006199006072748"</f>
        <v>460006199006072748</v>
      </c>
      <c r="D3913" t="str">
        <f>"248030402306"</f>
        <v>248030402306</v>
      </c>
      <c r="L3913">
        <v>5109</v>
      </c>
      <c r="M3913" t="s">
        <v>4412</v>
      </c>
      <c r="N3913" t="str">
        <f>"248030402306"</f>
        <v>248030402306</v>
      </c>
      <c r="O3913" t="str">
        <f>"460006199006072748"</f>
        <v>460006199006072748</v>
      </c>
    </row>
    <row r="3914" customFormat="1" spans="1:15">
      <c r="A3914">
        <v>5110</v>
      </c>
      <c r="B3914" t="s">
        <v>4413</v>
      </c>
      <c r="C3914" t="str">
        <f>"362427199905065914"</f>
        <v>362427199905065914</v>
      </c>
      <c r="D3914" t="str">
        <f>"248030202518"</f>
        <v>248030202518</v>
      </c>
      <c r="L3914">
        <v>5110</v>
      </c>
      <c r="M3914" t="s">
        <v>4413</v>
      </c>
      <c r="N3914" t="str">
        <f>"248030202518"</f>
        <v>248030202518</v>
      </c>
      <c r="O3914" t="str">
        <f>"362427199905065914"</f>
        <v>362427199905065914</v>
      </c>
    </row>
    <row r="3915" customFormat="1" spans="1:15">
      <c r="A3915">
        <v>5111</v>
      </c>
      <c r="B3915" t="s">
        <v>4414</v>
      </c>
      <c r="C3915" t="str">
        <f>"460004200204013020"</f>
        <v>460004200204013020</v>
      </c>
      <c r="D3915" t="str">
        <f>"248030500528"</f>
        <v>248030500528</v>
      </c>
      <c r="L3915">
        <v>5111</v>
      </c>
      <c r="M3915" t="s">
        <v>4414</v>
      </c>
      <c r="N3915" t="str">
        <f>"248030500528"</f>
        <v>248030500528</v>
      </c>
      <c r="O3915" t="str">
        <f>"460004200204013020"</f>
        <v>460004200204013020</v>
      </c>
    </row>
    <row r="3916" customFormat="1" spans="1:15">
      <c r="A3916">
        <v>5112</v>
      </c>
      <c r="B3916" t="s">
        <v>4415</v>
      </c>
      <c r="C3916" t="str">
        <f>"46000319930321482X"</f>
        <v>46000319930321482X</v>
      </c>
      <c r="L3916">
        <v>5112</v>
      </c>
      <c r="M3916" t="s">
        <v>4415</v>
      </c>
      <c r="O3916" t="str">
        <f>"46000319930321482X"</f>
        <v>46000319930321482X</v>
      </c>
    </row>
    <row r="3917" customFormat="1" spans="1:15">
      <c r="A3917">
        <v>5114</v>
      </c>
      <c r="B3917" t="s">
        <v>4416</v>
      </c>
      <c r="C3917" t="str">
        <f>"43040519970225502X"</f>
        <v>43040519970225502X</v>
      </c>
      <c r="D3917" t="str">
        <f>"248030203102"</f>
        <v>248030203102</v>
      </c>
      <c r="L3917">
        <v>5114</v>
      </c>
      <c r="M3917" t="s">
        <v>4416</v>
      </c>
      <c r="N3917" t="str">
        <f>"248030203102"</f>
        <v>248030203102</v>
      </c>
      <c r="O3917" t="str">
        <f>"43040519970225502X"</f>
        <v>43040519970225502X</v>
      </c>
    </row>
    <row r="3918" customFormat="1" spans="1:15">
      <c r="A3918">
        <v>5115</v>
      </c>
      <c r="B3918" t="s">
        <v>4417</v>
      </c>
      <c r="C3918" t="str">
        <f>"460033200104033886"</f>
        <v>460033200104033886</v>
      </c>
      <c r="D3918" t="str">
        <f>"248030103001"</f>
        <v>248030103001</v>
      </c>
      <c r="L3918">
        <v>5115</v>
      </c>
      <c r="M3918" t="s">
        <v>4417</v>
      </c>
      <c r="N3918" t="str">
        <f>"248030103001"</f>
        <v>248030103001</v>
      </c>
      <c r="O3918" t="str">
        <f>"460033200104033886"</f>
        <v>460033200104033886</v>
      </c>
    </row>
    <row r="3919" customFormat="1" spans="1:15">
      <c r="A3919">
        <v>5116</v>
      </c>
      <c r="B3919" t="s">
        <v>4418</v>
      </c>
      <c r="C3919" t="str">
        <f>"460022199002244821"</f>
        <v>460022199002244821</v>
      </c>
      <c r="D3919" t="str">
        <f>"248030202123"</f>
        <v>248030202123</v>
      </c>
      <c r="L3919">
        <v>5116</v>
      </c>
      <c r="M3919" t="s">
        <v>4418</v>
      </c>
      <c r="N3919" t="str">
        <f>"248030202123"</f>
        <v>248030202123</v>
      </c>
      <c r="O3919" t="str">
        <f>"460022199002244821"</f>
        <v>460022199002244821</v>
      </c>
    </row>
    <row r="3920" customFormat="1" spans="1:15">
      <c r="A3920">
        <v>5117</v>
      </c>
      <c r="B3920" t="s">
        <v>4419</v>
      </c>
      <c r="C3920" t="str">
        <f>"469003199404195929"</f>
        <v>469003199404195929</v>
      </c>
      <c r="D3920" t="str">
        <f>"248030103507"</f>
        <v>248030103507</v>
      </c>
      <c r="L3920">
        <v>5117</v>
      </c>
      <c r="M3920" t="s">
        <v>4419</v>
      </c>
      <c r="N3920" t="str">
        <f>"248030103507"</f>
        <v>248030103507</v>
      </c>
      <c r="O3920" t="str">
        <f>"469003199404195929"</f>
        <v>469003199404195929</v>
      </c>
    </row>
    <row r="3921" customFormat="1" spans="1:15">
      <c r="A3921">
        <v>5118</v>
      </c>
      <c r="B3921" t="s">
        <v>4420</v>
      </c>
      <c r="C3921" t="str">
        <f>"460028200211074025"</f>
        <v>460028200211074025</v>
      </c>
      <c r="D3921" t="str">
        <f>"248030403705"</f>
        <v>248030403705</v>
      </c>
      <c r="L3921">
        <v>5118</v>
      </c>
      <c r="M3921" t="s">
        <v>4420</v>
      </c>
      <c r="N3921" t="str">
        <f>"248030403705"</f>
        <v>248030403705</v>
      </c>
      <c r="O3921" t="str">
        <f>"460028200211074025"</f>
        <v>460028200211074025</v>
      </c>
    </row>
    <row r="3922" customFormat="1" spans="1:15">
      <c r="A3922">
        <v>5120</v>
      </c>
      <c r="B3922" t="s">
        <v>4421</v>
      </c>
      <c r="C3922" t="str">
        <f>"420302199408281327"</f>
        <v>420302199408281327</v>
      </c>
      <c r="L3922">
        <v>5120</v>
      </c>
      <c r="M3922" t="s">
        <v>4421</v>
      </c>
      <c r="O3922" t="str">
        <f>"420302199408281327"</f>
        <v>420302199408281327</v>
      </c>
    </row>
    <row r="3923" customFormat="1" spans="1:15">
      <c r="A3923">
        <v>5122</v>
      </c>
      <c r="B3923" t="s">
        <v>4422</v>
      </c>
      <c r="C3923" t="str">
        <f>"460025200008200023"</f>
        <v>460025200008200023</v>
      </c>
      <c r="D3923" t="str">
        <f>"248030103513"</f>
        <v>248030103513</v>
      </c>
      <c r="L3923">
        <v>5122</v>
      </c>
      <c r="M3923" t="s">
        <v>4422</v>
      </c>
      <c r="N3923" t="str">
        <f>"248030103513"</f>
        <v>248030103513</v>
      </c>
      <c r="O3923" t="str">
        <f>"460025200008200023"</f>
        <v>460025200008200023</v>
      </c>
    </row>
    <row r="3924" customFormat="1" spans="1:15">
      <c r="A3924">
        <v>5123</v>
      </c>
      <c r="B3924" t="s">
        <v>4423</v>
      </c>
      <c r="C3924" t="str">
        <f>"460002200002160345"</f>
        <v>460002200002160345</v>
      </c>
      <c r="L3924">
        <v>5123</v>
      </c>
      <c r="M3924" t="s">
        <v>4423</v>
      </c>
      <c r="O3924" t="str">
        <f>"460002200002160345"</f>
        <v>460002200002160345</v>
      </c>
    </row>
    <row r="3925" customFormat="1" spans="1:15">
      <c r="A3925">
        <v>5124</v>
      </c>
      <c r="B3925" t="s">
        <v>4424</v>
      </c>
      <c r="C3925" t="str">
        <f>"460006199806260421"</f>
        <v>460006199806260421</v>
      </c>
      <c r="D3925" t="str">
        <f>"248030101024"</f>
        <v>248030101024</v>
      </c>
      <c r="L3925">
        <v>5124</v>
      </c>
      <c r="M3925" t="s">
        <v>4424</v>
      </c>
      <c r="N3925" t="str">
        <f>"248030101024"</f>
        <v>248030101024</v>
      </c>
      <c r="O3925" t="str">
        <f>"460006199806260421"</f>
        <v>460006199806260421</v>
      </c>
    </row>
    <row r="3926" customFormat="1" spans="1:15">
      <c r="A3926">
        <v>5126</v>
      </c>
      <c r="B3926" t="s">
        <v>4425</v>
      </c>
      <c r="C3926" t="str">
        <f>"46000619990222464X"</f>
        <v>46000619990222464X</v>
      </c>
      <c r="D3926" t="str">
        <f>"248030302606"</f>
        <v>248030302606</v>
      </c>
      <c r="L3926">
        <v>5126</v>
      </c>
      <c r="M3926" t="s">
        <v>4425</v>
      </c>
      <c r="N3926" t="str">
        <f>"248030302606"</f>
        <v>248030302606</v>
      </c>
      <c r="O3926" t="str">
        <f>"46000619990222464X"</f>
        <v>46000619990222464X</v>
      </c>
    </row>
    <row r="3927" customFormat="1" spans="1:15">
      <c r="A3927">
        <v>5127</v>
      </c>
      <c r="B3927" t="s">
        <v>4426</v>
      </c>
      <c r="C3927" t="str">
        <f>"460102199012020928"</f>
        <v>460102199012020928</v>
      </c>
      <c r="D3927" t="str">
        <f>"248030502204"</f>
        <v>248030502204</v>
      </c>
      <c r="L3927">
        <v>5127</v>
      </c>
      <c r="M3927" t="s">
        <v>4426</v>
      </c>
      <c r="N3927" t="str">
        <f>"248030502204"</f>
        <v>248030502204</v>
      </c>
      <c r="O3927" t="str">
        <f>"460102199012020928"</f>
        <v>460102199012020928</v>
      </c>
    </row>
    <row r="3928" customFormat="1" spans="1:15">
      <c r="A3928">
        <v>5129</v>
      </c>
      <c r="B3928" t="s">
        <v>4427</v>
      </c>
      <c r="C3928" t="str">
        <f>"620503199509096061"</f>
        <v>620503199509096061</v>
      </c>
      <c r="D3928" t="str">
        <f>"248030502423"</f>
        <v>248030502423</v>
      </c>
      <c r="L3928">
        <v>5129</v>
      </c>
      <c r="M3928" t="s">
        <v>4427</v>
      </c>
      <c r="N3928" t="str">
        <f>"248030502423"</f>
        <v>248030502423</v>
      </c>
      <c r="O3928" t="str">
        <f>"620503199509096061"</f>
        <v>620503199509096061</v>
      </c>
    </row>
    <row r="3929" customFormat="1" spans="1:15">
      <c r="A3929">
        <v>5130</v>
      </c>
      <c r="B3929" t="s">
        <v>4428</v>
      </c>
      <c r="C3929" t="str">
        <f>"522323199908212325"</f>
        <v>522323199908212325</v>
      </c>
      <c r="D3929" t="str">
        <f>"248030302511"</f>
        <v>248030302511</v>
      </c>
      <c r="L3929">
        <v>5130</v>
      </c>
      <c r="M3929" t="s">
        <v>4428</v>
      </c>
      <c r="N3929" t="str">
        <f>"248030302511"</f>
        <v>248030302511</v>
      </c>
      <c r="O3929" t="str">
        <f>"522323199908212325"</f>
        <v>522323199908212325</v>
      </c>
    </row>
    <row r="3930" customFormat="1" spans="1:15">
      <c r="A3930">
        <v>5132</v>
      </c>
      <c r="B3930" t="s">
        <v>500</v>
      </c>
      <c r="C3930" t="str">
        <f>"220322199205245623"</f>
        <v>220322199205245623</v>
      </c>
      <c r="D3930" t="str">
        <f>"248030500415"</f>
        <v>248030500415</v>
      </c>
      <c r="L3930">
        <v>5132</v>
      </c>
      <c r="M3930" t="s">
        <v>500</v>
      </c>
      <c r="N3930" t="str">
        <f>"248030500415"</f>
        <v>248030500415</v>
      </c>
      <c r="O3930" t="str">
        <f>"220322199205245623"</f>
        <v>220322199205245623</v>
      </c>
    </row>
    <row r="3931" customFormat="1" spans="1:15">
      <c r="A3931">
        <v>5133</v>
      </c>
      <c r="B3931" t="s">
        <v>4429</v>
      </c>
      <c r="C3931" t="str">
        <f>"460006199811084020"</f>
        <v>460006199811084020</v>
      </c>
      <c r="D3931" t="str">
        <f>"248030404001"</f>
        <v>248030404001</v>
      </c>
      <c r="L3931">
        <v>5133</v>
      </c>
      <c r="M3931" t="s">
        <v>4429</v>
      </c>
      <c r="N3931" t="str">
        <f>"248030404001"</f>
        <v>248030404001</v>
      </c>
      <c r="O3931" t="str">
        <f>"460006199811084020"</f>
        <v>460006199811084020</v>
      </c>
    </row>
    <row r="3932" customFormat="1" spans="1:15">
      <c r="A3932">
        <v>5135</v>
      </c>
      <c r="B3932" t="s">
        <v>4430</v>
      </c>
      <c r="C3932" t="str">
        <f>"231181199110062121"</f>
        <v>231181199110062121</v>
      </c>
      <c r="D3932" t="str">
        <f>"248030500215"</f>
        <v>248030500215</v>
      </c>
      <c r="L3932">
        <v>5135</v>
      </c>
      <c r="M3932" t="s">
        <v>4430</v>
      </c>
      <c r="N3932" t="str">
        <f>"248030500215"</f>
        <v>248030500215</v>
      </c>
      <c r="O3932" t="str">
        <f>"231181199110062121"</f>
        <v>231181199110062121</v>
      </c>
    </row>
    <row r="3933" customFormat="1" spans="1:15">
      <c r="A3933">
        <v>5136</v>
      </c>
      <c r="B3933" t="s">
        <v>4431</v>
      </c>
      <c r="C3933" t="str">
        <f>"460025200106170024"</f>
        <v>460025200106170024</v>
      </c>
      <c r="D3933" t="str">
        <f>"248030103724"</f>
        <v>248030103724</v>
      </c>
      <c r="L3933">
        <v>5136</v>
      </c>
      <c r="M3933" t="s">
        <v>4431</v>
      </c>
      <c r="N3933" t="str">
        <f>"248030103724"</f>
        <v>248030103724</v>
      </c>
      <c r="O3933" t="str">
        <f>"460025200106170024"</f>
        <v>460025200106170024</v>
      </c>
    </row>
    <row r="3934" customFormat="1" spans="1:15">
      <c r="A3934">
        <v>5137</v>
      </c>
      <c r="B3934" t="s">
        <v>4432</v>
      </c>
      <c r="C3934" t="str">
        <f>"460027200012267629"</f>
        <v>460027200012267629</v>
      </c>
      <c r="D3934" t="str">
        <f>"248030202213"</f>
        <v>248030202213</v>
      </c>
      <c r="L3934">
        <v>5137</v>
      </c>
      <c r="M3934" t="s">
        <v>4432</v>
      </c>
      <c r="N3934" t="str">
        <f>"248030202213"</f>
        <v>248030202213</v>
      </c>
      <c r="O3934" t="str">
        <f>"460027200012267629"</f>
        <v>460027200012267629</v>
      </c>
    </row>
    <row r="3935" customFormat="1" spans="1:15">
      <c r="A3935">
        <v>5138</v>
      </c>
      <c r="B3935" t="s">
        <v>4433</v>
      </c>
      <c r="C3935" t="str">
        <f>"460102199406073029"</f>
        <v>460102199406073029</v>
      </c>
      <c r="D3935" t="str">
        <f>"248030200709"</f>
        <v>248030200709</v>
      </c>
      <c r="L3935">
        <v>5138</v>
      </c>
      <c r="M3935" t="s">
        <v>4433</v>
      </c>
      <c r="N3935" t="str">
        <f>"248030200709"</f>
        <v>248030200709</v>
      </c>
      <c r="O3935" t="str">
        <f>"460102199406073029"</f>
        <v>460102199406073029</v>
      </c>
    </row>
    <row r="3936" customFormat="1" spans="1:15">
      <c r="A3936">
        <v>5139</v>
      </c>
      <c r="B3936" t="s">
        <v>4434</v>
      </c>
      <c r="C3936" t="str">
        <f>"469027200011054785"</f>
        <v>469027200011054785</v>
      </c>
      <c r="D3936" t="str">
        <f>"248030104606"</f>
        <v>248030104606</v>
      </c>
      <c r="L3936">
        <v>5139</v>
      </c>
      <c r="M3936" t="s">
        <v>4434</v>
      </c>
      <c r="N3936" t="str">
        <f>"248030104606"</f>
        <v>248030104606</v>
      </c>
      <c r="O3936" t="str">
        <f>"469027200011054785"</f>
        <v>469027200011054785</v>
      </c>
    </row>
    <row r="3937" customFormat="1" spans="1:15">
      <c r="A3937">
        <v>5142</v>
      </c>
      <c r="B3937" t="s">
        <v>4435</v>
      </c>
      <c r="C3937" t="str">
        <f>"460004200105060024"</f>
        <v>460004200105060024</v>
      </c>
      <c r="D3937" t="str">
        <f>"248030103218"</f>
        <v>248030103218</v>
      </c>
      <c r="L3937">
        <v>5142</v>
      </c>
      <c r="M3937" t="s">
        <v>4435</v>
      </c>
      <c r="N3937" t="str">
        <f>"248030103218"</f>
        <v>248030103218</v>
      </c>
      <c r="O3937" t="str">
        <f>"460004200105060024"</f>
        <v>460004200105060024</v>
      </c>
    </row>
    <row r="3938" customFormat="1" spans="1:15">
      <c r="A3938">
        <v>5143</v>
      </c>
      <c r="B3938" t="s">
        <v>4436</v>
      </c>
      <c r="C3938" t="str">
        <f>"460003199112034842"</f>
        <v>460003199112034842</v>
      </c>
      <c r="D3938" t="str">
        <f>"248030104930"</f>
        <v>248030104930</v>
      </c>
      <c r="L3938">
        <v>5143</v>
      </c>
      <c r="M3938" t="s">
        <v>4436</v>
      </c>
      <c r="N3938" t="str">
        <f>"248030104930"</f>
        <v>248030104930</v>
      </c>
      <c r="O3938" t="str">
        <f>"460003199112034842"</f>
        <v>460003199112034842</v>
      </c>
    </row>
    <row r="3939" customFormat="1" spans="1:15">
      <c r="A3939">
        <v>5144</v>
      </c>
      <c r="B3939" t="s">
        <v>4437</v>
      </c>
      <c r="C3939" t="str">
        <f>"460104199508081225"</f>
        <v>460104199508081225</v>
      </c>
      <c r="D3939" t="str">
        <f>"248030500218"</f>
        <v>248030500218</v>
      </c>
      <c r="L3939">
        <v>5144</v>
      </c>
      <c r="M3939" t="s">
        <v>4437</v>
      </c>
      <c r="N3939" t="str">
        <f>"248030500218"</f>
        <v>248030500218</v>
      </c>
      <c r="O3939" t="str">
        <f>"460104199508081225"</f>
        <v>460104199508081225</v>
      </c>
    </row>
    <row r="3940" customFormat="1" spans="1:15">
      <c r="A3940">
        <v>5146</v>
      </c>
      <c r="B3940" t="s">
        <v>296</v>
      </c>
      <c r="C3940" t="str">
        <f>"460004199903280843"</f>
        <v>460004199903280843</v>
      </c>
      <c r="D3940" t="str">
        <f>"248030301007"</f>
        <v>248030301007</v>
      </c>
      <c r="L3940">
        <v>5146</v>
      </c>
      <c r="M3940" t="s">
        <v>296</v>
      </c>
      <c r="N3940" t="str">
        <f>"248030301007"</f>
        <v>248030301007</v>
      </c>
      <c r="O3940" t="str">
        <f>"460004199903280843"</f>
        <v>460004199903280843</v>
      </c>
    </row>
    <row r="3941" customFormat="1" spans="1:15">
      <c r="A3941">
        <v>5147</v>
      </c>
      <c r="B3941" t="s">
        <v>4438</v>
      </c>
      <c r="C3941" t="str">
        <f>"460033199310177500"</f>
        <v>460033199310177500</v>
      </c>
      <c r="L3941">
        <v>5147</v>
      </c>
      <c r="M3941" t="s">
        <v>4438</v>
      </c>
      <c r="O3941" t="str">
        <f>"460033199310177500"</f>
        <v>460033199310177500</v>
      </c>
    </row>
    <row r="3942" customFormat="1" spans="1:15">
      <c r="A3942">
        <v>5148</v>
      </c>
      <c r="B3942" t="s">
        <v>761</v>
      </c>
      <c r="C3942" t="str">
        <f>"460028199805240427"</f>
        <v>460028199805240427</v>
      </c>
      <c r="D3942" t="str">
        <f>"248030300719"</f>
        <v>248030300719</v>
      </c>
      <c r="L3942">
        <v>5148</v>
      </c>
      <c r="M3942" t="s">
        <v>761</v>
      </c>
      <c r="N3942" t="str">
        <f>"248030300719"</f>
        <v>248030300719</v>
      </c>
      <c r="O3942" t="str">
        <f>"460028199805240427"</f>
        <v>460028199805240427</v>
      </c>
    </row>
    <row r="3943" customFormat="1" spans="1:15">
      <c r="A3943">
        <v>5151</v>
      </c>
      <c r="B3943" t="s">
        <v>492</v>
      </c>
      <c r="C3943" t="str">
        <f>"620121199202051927"</f>
        <v>620121199202051927</v>
      </c>
      <c r="D3943" t="str">
        <f>"248030500402"</f>
        <v>248030500402</v>
      </c>
      <c r="L3943">
        <v>5151</v>
      </c>
      <c r="M3943" t="s">
        <v>492</v>
      </c>
      <c r="N3943" t="str">
        <f>"248030500402"</f>
        <v>248030500402</v>
      </c>
      <c r="O3943" t="str">
        <f>"620121199202051927"</f>
        <v>620121199202051927</v>
      </c>
    </row>
    <row r="3944" customFormat="1" spans="1:15">
      <c r="A3944">
        <v>5152</v>
      </c>
      <c r="B3944" t="s">
        <v>4439</v>
      </c>
      <c r="C3944" t="str">
        <f>"460006199209100227"</f>
        <v>460006199209100227</v>
      </c>
      <c r="D3944" t="str">
        <f>"248030500830"</f>
        <v>248030500830</v>
      </c>
      <c r="L3944">
        <v>5152</v>
      </c>
      <c r="M3944" t="s">
        <v>4439</v>
      </c>
      <c r="N3944" t="str">
        <f>"248030500830"</f>
        <v>248030500830</v>
      </c>
      <c r="O3944" t="str">
        <f>"460006199209100227"</f>
        <v>460006199209100227</v>
      </c>
    </row>
    <row r="3945" customFormat="1" spans="1:15">
      <c r="A3945">
        <v>5153</v>
      </c>
      <c r="B3945" t="s">
        <v>4440</v>
      </c>
      <c r="C3945" t="str">
        <f>"420684200002170076"</f>
        <v>420684200002170076</v>
      </c>
      <c r="D3945" t="str">
        <f>"248030201603"</f>
        <v>248030201603</v>
      </c>
      <c r="L3945">
        <v>5153</v>
      </c>
      <c r="M3945" t="s">
        <v>4440</v>
      </c>
      <c r="N3945" t="str">
        <f>"248030201603"</f>
        <v>248030201603</v>
      </c>
      <c r="O3945" t="str">
        <f>"420684200002170076"</f>
        <v>420684200002170076</v>
      </c>
    </row>
    <row r="3946" customFormat="1" spans="1:15">
      <c r="A3946">
        <v>5154</v>
      </c>
      <c r="B3946" t="s">
        <v>4441</v>
      </c>
      <c r="C3946" t="str">
        <f>"460003199903063244"</f>
        <v>460003199903063244</v>
      </c>
      <c r="D3946" t="str">
        <f>"248030203219"</f>
        <v>248030203219</v>
      </c>
      <c r="L3946">
        <v>5154</v>
      </c>
      <c r="M3946" t="s">
        <v>4441</v>
      </c>
      <c r="N3946" t="str">
        <f>"248030203219"</f>
        <v>248030203219</v>
      </c>
      <c r="O3946" t="str">
        <f>"460003199903063244"</f>
        <v>460003199903063244</v>
      </c>
    </row>
    <row r="3947" customFormat="1" spans="1:15">
      <c r="A3947">
        <v>5155</v>
      </c>
      <c r="B3947" t="s">
        <v>4442</v>
      </c>
      <c r="C3947" t="str">
        <f>"460004200106144625"</f>
        <v>460004200106144625</v>
      </c>
      <c r="D3947" t="str">
        <f>"248030100611"</f>
        <v>248030100611</v>
      </c>
      <c r="L3947">
        <v>5155</v>
      </c>
      <c r="M3947" t="s">
        <v>4442</v>
      </c>
      <c r="N3947" t="str">
        <f>"248030100611"</f>
        <v>248030100611</v>
      </c>
      <c r="O3947" t="str">
        <f>"460004200106144625"</f>
        <v>460004200106144625</v>
      </c>
    </row>
    <row r="3948" customFormat="1" spans="1:15">
      <c r="A3948">
        <v>5156</v>
      </c>
      <c r="B3948" t="s">
        <v>4443</v>
      </c>
      <c r="C3948" t="str">
        <f>"469003199607256787"</f>
        <v>469003199607256787</v>
      </c>
      <c r="D3948" t="str">
        <f>"248030104019"</f>
        <v>248030104019</v>
      </c>
      <c r="L3948">
        <v>5156</v>
      </c>
      <c r="M3948" t="s">
        <v>4443</v>
      </c>
      <c r="N3948" t="str">
        <f>"248030104019"</f>
        <v>248030104019</v>
      </c>
      <c r="O3948" t="str">
        <f>"469003199607256787"</f>
        <v>469003199607256787</v>
      </c>
    </row>
    <row r="3949" customFormat="1" spans="1:15">
      <c r="A3949">
        <v>5157</v>
      </c>
      <c r="B3949" t="s">
        <v>4444</v>
      </c>
      <c r="C3949" t="str">
        <f>"469003199802127024"</f>
        <v>469003199802127024</v>
      </c>
      <c r="L3949">
        <v>5157</v>
      </c>
      <c r="M3949" t="s">
        <v>4444</v>
      </c>
      <c r="O3949" t="str">
        <f>"469003199802127024"</f>
        <v>469003199802127024</v>
      </c>
    </row>
    <row r="3950" customFormat="1" spans="1:15">
      <c r="A3950">
        <v>5158</v>
      </c>
      <c r="B3950" t="s">
        <v>4445</v>
      </c>
      <c r="C3950" t="str">
        <f>"513023199811270505"</f>
        <v>513023199811270505</v>
      </c>
      <c r="D3950" t="str">
        <f>"248030503306"</f>
        <v>248030503306</v>
      </c>
      <c r="L3950">
        <v>5158</v>
      </c>
      <c r="M3950" t="s">
        <v>4445</v>
      </c>
      <c r="N3950" t="str">
        <f>"248030503306"</f>
        <v>248030503306</v>
      </c>
      <c r="O3950" t="str">
        <f>"513023199811270505"</f>
        <v>513023199811270505</v>
      </c>
    </row>
    <row r="3951" customFormat="1" spans="1:15">
      <c r="A3951">
        <v>5159</v>
      </c>
      <c r="B3951" t="s">
        <v>4446</v>
      </c>
      <c r="C3951" t="str">
        <f>"460033199810066583"</f>
        <v>460033199810066583</v>
      </c>
      <c r="D3951" t="str">
        <f>"248030300419"</f>
        <v>248030300419</v>
      </c>
      <c r="L3951">
        <v>5159</v>
      </c>
      <c r="M3951" t="s">
        <v>4446</v>
      </c>
      <c r="N3951" t="str">
        <f>"248030300419"</f>
        <v>248030300419</v>
      </c>
      <c r="O3951" t="str">
        <f>"460033199810066583"</f>
        <v>460033199810066583</v>
      </c>
    </row>
    <row r="3952" customFormat="1" spans="1:15">
      <c r="A3952">
        <v>5160</v>
      </c>
      <c r="B3952" t="s">
        <v>4447</v>
      </c>
      <c r="C3952" t="str">
        <f>"460004199501132223"</f>
        <v>460004199501132223</v>
      </c>
      <c r="D3952" t="str">
        <f>"248030501506"</f>
        <v>248030501506</v>
      </c>
      <c r="L3952">
        <v>5160</v>
      </c>
      <c r="M3952" t="s">
        <v>4447</v>
      </c>
      <c r="N3952" t="str">
        <f>"248030501506"</f>
        <v>248030501506</v>
      </c>
      <c r="O3952" t="str">
        <f>"460004199501132223"</f>
        <v>460004199501132223</v>
      </c>
    </row>
    <row r="3953" customFormat="1" spans="1:15">
      <c r="A3953">
        <v>5161</v>
      </c>
      <c r="B3953" t="s">
        <v>4448</v>
      </c>
      <c r="C3953" t="str">
        <f>"460104200107281512"</f>
        <v>460104200107281512</v>
      </c>
      <c r="D3953" t="str">
        <f>"248030301021"</f>
        <v>248030301021</v>
      </c>
      <c r="L3953">
        <v>5161</v>
      </c>
      <c r="M3953" t="s">
        <v>4448</v>
      </c>
      <c r="N3953" t="str">
        <f>"248030301021"</f>
        <v>248030301021</v>
      </c>
      <c r="O3953" t="str">
        <f>"460104200107281512"</f>
        <v>460104200107281512</v>
      </c>
    </row>
    <row r="3954" customFormat="1" spans="1:15">
      <c r="A3954">
        <v>5162</v>
      </c>
      <c r="B3954" t="s">
        <v>4449</v>
      </c>
      <c r="C3954" t="str">
        <f>"460005199309135148"</f>
        <v>460005199309135148</v>
      </c>
      <c r="D3954" t="str">
        <f>"248030502428"</f>
        <v>248030502428</v>
      </c>
      <c r="L3954">
        <v>5162</v>
      </c>
      <c r="M3954" t="s">
        <v>4449</v>
      </c>
      <c r="N3954" t="str">
        <f>"248030502428"</f>
        <v>248030502428</v>
      </c>
      <c r="O3954" t="str">
        <f>"460005199309135148"</f>
        <v>460005199309135148</v>
      </c>
    </row>
    <row r="3955" customFormat="1" spans="1:15">
      <c r="A3955">
        <v>5163</v>
      </c>
      <c r="B3955" t="s">
        <v>4450</v>
      </c>
      <c r="C3955" t="str">
        <f>"46000419930811068X"</f>
        <v>46000419930811068X</v>
      </c>
      <c r="D3955" t="str">
        <f>"248030200514"</f>
        <v>248030200514</v>
      </c>
      <c r="L3955">
        <v>5163</v>
      </c>
      <c r="M3955" t="s">
        <v>4450</v>
      </c>
      <c r="N3955" t="str">
        <f>"248030200514"</f>
        <v>248030200514</v>
      </c>
      <c r="O3955" t="str">
        <f>"46000419930811068X"</f>
        <v>46000419930811068X</v>
      </c>
    </row>
    <row r="3956" customFormat="1" spans="1:15">
      <c r="A3956">
        <v>5164</v>
      </c>
      <c r="B3956" t="s">
        <v>4451</v>
      </c>
      <c r="C3956" t="str">
        <f>"533221199307070944"</f>
        <v>533221199307070944</v>
      </c>
      <c r="L3956">
        <v>5164</v>
      </c>
      <c r="M3956" t="s">
        <v>4451</v>
      </c>
      <c r="O3956" t="str">
        <f>"533221199307070944"</f>
        <v>533221199307070944</v>
      </c>
    </row>
    <row r="3957" customFormat="1" spans="1:15">
      <c r="A3957">
        <v>5165</v>
      </c>
      <c r="B3957" t="s">
        <v>4452</v>
      </c>
      <c r="C3957" t="str">
        <f>"460107199611122629"</f>
        <v>460107199611122629</v>
      </c>
      <c r="D3957" t="str">
        <f>"248030103609"</f>
        <v>248030103609</v>
      </c>
      <c r="L3957">
        <v>5165</v>
      </c>
      <c r="M3957" t="s">
        <v>4452</v>
      </c>
      <c r="N3957" t="str">
        <f>"248030103609"</f>
        <v>248030103609</v>
      </c>
      <c r="O3957" t="str">
        <f>"460107199611122629"</f>
        <v>460107199611122629</v>
      </c>
    </row>
    <row r="3958" customFormat="1" spans="1:15">
      <c r="A3958">
        <v>5166</v>
      </c>
      <c r="B3958" t="s">
        <v>4453</v>
      </c>
      <c r="C3958" t="str">
        <f>"460028199910225616"</f>
        <v>460028199910225616</v>
      </c>
      <c r="L3958">
        <v>5166</v>
      </c>
      <c r="M3958" t="s">
        <v>4453</v>
      </c>
      <c r="O3958" t="str">
        <f>"460028199910225616"</f>
        <v>460028199910225616</v>
      </c>
    </row>
    <row r="3959" customFormat="1" spans="1:15">
      <c r="A3959">
        <v>5170</v>
      </c>
      <c r="B3959" t="s">
        <v>769</v>
      </c>
      <c r="C3959" t="str">
        <f>"460027199306154149"</f>
        <v>460027199306154149</v>
      </c>
      <c r="D3959" t="str">
        <f>"248030302320"</f>
        <v>248030302320</v>
      </c>
      <c r="L3959">
        <v>5170</v>
      </c>
      <c r="M3959" t="s">
        <v>769</v>
      </c>
      <c r="N3959" t="str">
        <f>"248030302320"</f>
        <v>248030302320</v>
      </c>
      <c r="O3959" t="str">
        <f>"460027199306154149"</f>
        <v>460027199306154149</v>
      </c>
    </row>
    <row r="3960" customFormat="1" spans="1:15">
      <c r="A3960">
        <v>5172</v>
      </c>
      <c r="B3960" t="s">
        <v>4454</v>
      </c>
      <c r="C3960" t="str">
        <f>"460004199710092045"</f>
        <v>460004199710092045</v>
      </c>
      <c r="D3960" t="str">
        <f>"248030301701"</f>
        <v>248030301701</v>
      </c>
      <c r="L3960">
        <v>5172</v>
      </c>
      <c r="M3960" t="s">
        <v>4454</v>
      </c>
      <c r="N3960" t="str">
        <f>"248030301701"</f>
        <v>248030301701</v>
      </c>
      <c r="O3960" t="str">
        <f>"460004199710092045"</f>
        <v>460004199710092045</v>
      </c>
    </row>
    <row r="3961" customFormat="1" spans="1:15">
      <c r="A3961">
        <v>5173</v>
      </c>
      <c r="B3961" t="s">
        <v>4455</v>
      </c>
      <c r="C3961" t="str">
        <f>"460004198906093643"</f>
        <v>460004198906093643</v>
      </c>
      <c r="D3961" t="str">
        <f>"248030300430"</f>
        <v>248030300430</v>
      </c>
      <c r="L3961">
        <v>5173</v>
      </c>
      <c r="M3961" t="s">
        <v>4455</v>
      </c>
      <c r="N3961" t="str">
        <f>"248030300430"</f>
        <v>248030300430</v>
      </c>
      <c r="O3961" t="str">
        <f>"460004198906093643"</f>
        <v>460004198906093643</v>
      </c>
    </row>
    <row r="3962" customFormat="1" spans="1:15">
      <c r="A3962">
        <v>5175</v>
      </c>
      <c r="B3962" t="s">
        <v>4456</v>
      </c>
      <c r="C3962" t="str">
        <f>"620523199001150042"</f>
        <v>620523199001150042</v>
      </c>
      <c r="D3962" t="str">
        <f>"248030203021"</f>
        <v>248030203021</v>
      </c>
      <c r="L3962">
        <v>5175</v>
      </c>
      <c r="M3962" t="s">
        <v>4456</v>
      </c>
      <c r="N3962" t="str">
        <f>"248030203021"</f>
        <v>248030203021</v>
      </c>
      <c r="O3962" t="str">
        <f>"620523199001150042"</f>
        <v>620523199001150042</v>
      </c>
    </row>
    <row r="3963" customFormat="1" spans="1:15">
      <c r="A3963">
        <v>5177</v>
      </c>
      <c r="B3963" t="s">
        <v>763</v>
      </c>
      <c r="C3963" t="str">
        <f>"460022199110042127"</f>
        <v>460022199110042127</v>
      </c>
      <c r="D3963" t="str">
        <f>"248030402126"</f>
        <v>248030402126</v>
      </c>
      <c r="L3963">
        <v>5177</v>
      </c>
      <c r="M3963" t="s">
        <v>763</v>
      </c>
      <c r="N3963" t="str">
        <f>"248030402126"</f>
        <v>248030402126</v>
      </c>
      <c r="O3963" t="str">
        <f>"460022199110042127"</f>
        <v>460022199110042127</v>
      </c>
    </row>
    <row r="3964" customFormat="1" spans="1:15">
      <c r="A3964">
        <v>5178</v>
      </c>
      <c r="B3964" t="s">
        <v>4457</v>
      </c>
      <c r="C3964" t="str">
        <f>"460003199805113025"</f>
        <v>460003199805113025</v>
      </c>
      <c r="D3964" t="str">
        <f>"248030200802"</f>
        <v>248030200802</v>
      </c>
      <c r="L3964">
        <v>5178</v>
      </c>
      <c r="M3964" t="s">
        <v>4457</v>
      </c>
      <c r="N3964" t="str">
        <f>"248030200802"</f>
        <v>248030200802</v>
      </c>
      <c r="O3964" t="str">
        <f>"460003199805113025"</f>
        <v>460003199805113025</v>
      </c>
    </row>
    <row r="3965" customFormat="1" spans="1:15">
      <c r="A3965">
        <v>5179</v>
      </c>
      <c r="B3965" t="s">
        <v>4458</v>
      </c>
      <c r="C3965" t="str">
        <f>"460033199806274478"</f>
        <v>460033199806274478</v>
      </c>
      <c r="L3965">
        <v>5179</v>
      </c>
      <c r="M3965" t="s">
        <v>4458</v>
      </c>
      <c r="O3965" t="str">
        <f>"460033199806274478"</f>
        <v>460033199806274478</v>
      </c>
    </row>
    <row r="3966" customFormat="1" spans="1:15">
      <c r="A3966">
        <v>5180</v>
      </c>
      <c r="B3966" t="s">
        <v>4459</v>
      </c>
      <c r="C3966" t="str">
        <f>"460004199501180022"</f>
        <v>460004199501180022</v>
      </c>
      <c r="L3966">
        <v>5180</v>
      </c>
      <c r="M3966" t="s">
        <v>4459</v>
      </c>
      <c r="O3966" t="str">
        <f>"460004199501180022"</f>
        <v>460004199501180022</v>
      </c>
    </row>
    <row r="3967" customFormat="1" spans="1:15">
      <c r="A3967">
        <v>5181</v>
      </c>
      <c r="B3967" t="s">
        <v>4460</v>
      </c>
      <c r="C3967" t="str">
        <f>"46000620010311292X"</f>
        <v>46000620010311292X</v>
      </c>
      <c r="D3967" t="str">
        <f>"248030402524"</f>
        <v>248030402524</v>
      </c>
      <c r="L3967">
        <v>5181</v>
      </c>
      <c r="M3967" t="s">
        <v>4460</v>
      </c>
      <c r="N3967" t="str">
        <f>"248030402524"</f>
        <v>248030402524</v>
      </c>
      <c r="O3967" t="str">
        <f>"46000620010311292X"</f>
        <v>46000620010311292X</v>
      </c>
    </row>
    <row r="3968" customFormat="1" spans="1:15">
      <c r="A3968">
        <v>5184</v>
      </c>
      <c r="B3968" t="s">
        <v>4461</v>
      </c>
      <c r="C3968" t="str">
        <f>"230303199706094723"</f>
        <v>230303199706094723</v>
      </c>
      <c r="D3968" t="str">
        <f>"248030401105"</f>
        <v>248030401105</v>
      </c>
      <c r="L3968">
        <v>5184</v>
      </c>
      <c r="M3968" t="s">
        <v>4461</v>
      </c>
      <c r="N3968" t="str">
        <f>"248030401105"</f>
        <v>248030401105</v>
      </c>
      <c r="O3968" t="str">
        <f>"230303199706094723"</f>
        <v>230303199706094723</v>
      </c>
    </row>
    <row r="3969" customFormat="1" spans="1:15">
      <c r="A3969">
        <v>5185</v>
      </c>
      <c r="B3969" t="s">
        <v>189</v>
      </c>
      <c r="C3969" t="str">
        <f>"460007200206280025"</f>
        <v>460007200206280025</v>
      </c>
      <c r="D3969" t="str">
        <f>"248030101103"</f>
        <v>248030101103</v>
      </c>
      <c r="L3969">
        <v>5185</v>
      </c>
      <c r="M3969" t="s">
        <v>189</v>
      </c>
      <c r="N3969" t="str">
        <f>"248030101103"</f>
        <v>248030101103</v>
      </c>
      <c r="O3969" t="str">
        <f>"460007200206280025"</f>
        <v>460007200206280025</v>
      </c>
    </row>
    <row r="3970" customFormat="1" spans="1:15">
      <c r="A3970">
        <v>5188</v>
      </c>
      <c r="B3970" t="s">
        <v>4462</v>
      </c>
      <c r="C3970" t="str">
        <f>"460033199912234787"</f>
        <v>460033199912234787</v>
      </c>
      <c r="D3970" t="str">
        <f>"248030502503"</f>
        <v>248030502503</v>
      </c>
      <c r="L3970">
        <v>5188</v>
      </c>
      <c r="M3970" t="s">
        <v>4462</v>
      </c>
      <c r="N3970" t="str">
        <f>"248030502503"</f>
        <v>248030502503</v>
      </c>
      <c r="O3970" t="str">
        <f>"460033199912234787"</f>
        <v>460033199912234787</v>
      </c>
    </row>
    <row r="3971" customFormat="1" spans="1:15">
      <c r="A3971">
        <v>5189</v>
      </c>
      <c r="B3971" t="s">
        <v>1252</v>
      </c>
      <c r="C3971" t="str">
        <f>"370304199304070048"</f>
        <v>370304199304070048</v>
      </c>
      <c r="D3971" t="str">
        <f>"248030202505"</f>
        <v>248030202505</v>
      </c>
      <c r="L3971">
        <v>5189</v>
      </c>
      <c r="M3971" t="s">
        <v>1252</v>
      </c>
      <c r="N3971" t="str">
        <f>"248030202505"</f>
        <v>248030202505</v>
      </c>
      <c r="O3971" t="str">
        <f>"370304199304070048"</f>
        <v>370304199304070048</v>
      </c>
    </row>
    <row r="3972" customFormat="1" spans="1:15">
      <c r="A3972">
        <v>5190</v>
      </c>
      <c r="B3972" t="s">
        <v>4463</v>
      </c>
      <c r="C3972" t="str">
        <f>"460002199904094943"</f>
        <v>460002199904094943</v>
      </c>
      <c r="D3972" t="str">
        <f>"248030500502"</f>
        <v>248030500502</v>
      </c>
      <c r="L3972">
        <v>5190</v>
      </c>
      <c r="M3972" t="s">
        <v>4463</v>
      </c>
      <c r="N3972" t="str">
        <f>"248030500502"</f>
        <v>248030500502</v>
      </c>
      <c r="O3972" t="str">
        <f>"460002199904094943"</f>
        <v>460002199904094943</v>
      </c>
    </row>
    <row r="3973" customFormat="1" spans="1:15">
      <c r="A3973">
        <v>5191</v>
      </c>
      <c r="B3973" t="s">
        <v>4464</v>
      </c>
      <c r="C3973" t="str">
        <f>"452727200306182127"</f>
        <v>452727200306182127</v>
      </c>
      <c r="D3973" t="str">
        <f>"248030103107"</f>
        <v>248030103107</v>
      </c>
      <c r="L3973">
        <v>5191</v>
      </c>
      <c r="M3973" t="s">
        <v>4464</v>
      </c>
      <c r="N3973" t="str">
        <f>"248030103107"</f>
        <v>248030103107</v>
      </c>
      <c r="O3973" t="str">
        <f>"452727200306182127"</f>
        <v>452727200306182127</v>
      </c>
    </row>
    <row r="3974" customFormat="1" spans="1:15">
      <c r="A3974">
        <v>5192</v>
      </c>
      <c r="B3974" t="s">
        <v>4465</v>
      </c>
      <c r="C3974" t="str">
        <f>"460026199709274229"</f>
        <v>460026199709274229</v>
      </c>
      <c r="D3974" t="str">
        <f>"248030402529"</f>
        <v>248030402529</v>
      </c>
      <c r="L3974">
        <v>5192</v>
      </c>
      <c r="M3974" t="s">
        <v>4465</v>
      </c>
      <c r="N3974" t="str">
        <f>"248030402529"</f>
        <v>248030402529</v>
      </c>
      <c r="O3974" t="str">
        <f>"460026199709274229"</f>
        <v>460026199709274229</v>
      </c>
    </row>
    <row r="3975" customFormat="1" spans="1:15">
      <c r="A3975">
        <v>5193</v>
      </c>
      <c r="B3975" t="s">
        <v>4466</v>
      </c>
      <c r="C3975" t="str">
        <f>"460031200007225218"</f>
        <v>460031200007225218</v>
      </c>
      <c r="D3975" t="str">
        <f>"248030201708"</f>
        <v>248030201708</v>
      </c>
      <c r="L3975">
        <v>5193</v>
      </c>
      <c r="M3975" t="s">
        <v>4466</v>
      </c>
      <c r="N3975" t="str">
        <f>"248030201708"</f>
        <v>248030201708</v>
      </c>
      <c r="O3975" t="str">
        <f>"460031200007225218"</f>
        <v>460031200007225218</v>
      </c>
    </row>
    <row r="3976" customFormat="1" spans="1:15">
      <c r="A3976">
        <v>5194</v>
      </c>
      <c r="B3976" t="s">
        <v>4467</v>
      </c>
      <c r="C3976" t="str">
        <f>"130184199609173044"</f>
        <v>130184199609173044</v>
      </c>
      <c r="D3976" t="str">
        <f>"248030201719"</f>
        <v>248030201719</v>
      </c>
      <c r="L3976">
        <v>5194</v>
      </c>
      <c r="M3976" t="s">
        <v>4467</v>
      </c>
      <c r="N3976" t="str">
        <f>"248030201719"</f>
        <v>248030201719</v>
      </c>
      <c r="O3976" t="str">
        <f>"130184199609173044"</f>
        <v>130184199609173044</v>
      </c>
    </row>
    <row r="3977" customFormat="1" spans="1:15">
      <c r="A3977">
        <v>5195</v>
      </c>
      <c r="B3977" t="s">
        <v>117</v>
      </c>
      <c r="C3977" t="str">
        <f>"460004200007050420"</f>
        <v>460004200007050420</v>
      </c>
      <c r="D3977" t="str">
        <f>"248030102130"</f>
        <v>248030102130</v>
      </c>
      <c r="L3977">
        <v>5195</v>
      </c>
      <c r="M3977" t="s">
        <v>117</v>
      </c>
      <c r="N3977" t="str">
        <f>"248030102130"</f>
        <v>248030102130</v>
      </c>
      <c r="O3977" t="str">
        <f>"460004200007050420"</f>
        <v>460004200007050420</v>
      </c>
    </row>
    <row r="3978" customFormat="1" spans="1:15">
      <c r="A3978">
        <v>5196</v>
      </c>
      <c r="B3978" t="s">
        <v>79</v>
      </c>
      <c r="C3978" t="str">
        <f>"460027199806140042"</f>
        <v>460027199806140042</v>
      </c>
      <c r="D3978" t="str">
        <f>"248030203111"</f>
        <v>248030203111</v>
      </c>
      <c r="L3978">
        <v>5196</v>
      </c>
      <c r="M3978" t="s">
        <v>79</v>
      </c>
      <c r="N3978" t="str">
        <f>"248030203111"</f>
        <v>248030203111</v>
      </c>
      <c r="O3978" t="str">
        <f>"460027199806140042"</f>
        <v>460027199806140042</v>
      </c>
    </row>
    <row r="3979" customFormat="1" spans="1:15">
      <c r="A3979">
        <v>5197</v>
      </c>
      <c r="B3979" t="s">
        <v>4468</v>
      </c>
      <c r="C3979" t="str">
        <f>"411082200008197230"</f>
        <v>411082200008197230</v>
      </c>
      <c r="D3979" t="str">
        <f>"248030202714"</f>
        <v>248030202714</v>
      </c>
      <c r="L3979">
        <v>5197</v>
      </c>
      <c r="M3979" t="s">
        <v>4468</v>
      </c>
      <c r="N3979" t="str">
        <f>"248030202714"</f>
        <v>248030202714</v>
      </c>
      <c r="O3979" t="str">
        <f>"411082200008197230"</f>
        <v>411082200008197230</v>
      </c>
    </row>
    <row r="3980" customFormat="1" spans="1:15">
      <c r="A3980">
        <v>5198</v>
      </c>
      <c r="B3980" t="s">
        <v>4469</v>
      </c>
      <c r="C3980" t="str">
        <f>"411526199302240747"</f>
        <v>411526199302240747</v>
      </c>
      <c r="D3980" t="str">
        <f>"248030203115"</f>
        <v>248030203115</v>
      </c>
      <c r="L3980">
        <v>5198</v>
      </c>
      <c r="M3980" t="s">
        <v>4469</v>
      </c>
      <c r="N3980" t="str">
        <f>"248030203115"</f>
        <v>248030203115</v>
      </c>
      <c r="O3980" t="str">
        <f>"411526199302240747"</f>
        <v>411526199302240747</v>
      </c>
    </row>
    <row r="3981" customFormat="1" spans="1:15">
      <c r="A3981">
        <v>5199</v>
      </c>
      <c r="B3981" t="s">
        <v>3266</v>
      </c>
      <c r="C3981" t="str">
        <f>"460028199108150901"</f>
        <v>460028199108150901</v>
      </c>
      <c r="D3981" t="str">
        <f>"248030400130"</f>
        <v>248030400130</v>
      </c>
      <c r="L3981">
        <v>5199</v>
      </c>
      <c r="M3981" t="s">
        <v>3266</v>
      </c>
      <c r="N3981" t="str">
        <f>"248030400130"</f>
        <v>248030400130</v>
      </c>
      <c r="O3981" t="str">
        <f>"460028199108150901"</f>
        <v>460028199108150901</v>
      </c>
    </row>
    <row r="3982" customFormat="1" spans="1:15">
      <c r="A3982">
        <v>5201</v>
      </c>
      <c r="B3982" t="s">
        <v>4470</v>
      </c>
      <c r="C3982" t="str">
        <f>"511124199809282427"</f>
        <v>511124199809282427</v>
      </c>
      <c r="D3982" t="str">
        <f>"248030500517"</f>
        <v>248030500517</v>
      </c>
      <c r="L3982">
        <v>5201</v>
      </c>
      <c r="M3982" t="s">
        <v>4470</v>
      </c>
      <c r="N3982" t="str">
        <f>"248030500517"</f>
        <v>248030500517</v>
      </c>
      <c r="O3982" t="str">
        <f>"511124199809282427"</f>
        <v>511124199809282427</v>
      </c>
    </row>
    <row r="3983" customFormat="1" spans="1:15">
      <c r="A3983">
        <v>5203</v>
      </c>
      <c r="B3983" t="s">
        <v>4471</v>
      </c>
      <c r="C3983" t="str">
        <f>"411381199903140024"</f>
        <v>411381199903140024</v>
      </c>
      <c r="D3983" t="str">
        <f>"248030503218"</f>
        <v>248030503218</v>
      </c>
      <c r="L3983">
        <v>5203</v>
      </c>
      <c r="M3983" t="s">
        <v>4471</v>
      </c>
      <c r="N3983" t="str">
        <f>"248030503218"</f>
        <v>248030503218</v>
      </c>
      <c r="O3983" t="str">
        <f>"411381199903140024"</f>
        <v>411381199903140024</v>
      </c>
    </row>
    <row r="3984" customFormat="1" spans="1:15">
      <c r="A3984">
        <v>5204</v>
      </c>
      <c r="B3984" t="s">
        <v>4472</v>
      </c>
      <c r="C3984" t="str">
        <f>"460104199809111221"</f>
        <v>460104199809111221</v>
      </c>
      <c r="D3984" t="str">
        <f>"248030200925"</f>
        <v>248030200925</v>
      </c>
      <c r="L3984">
        <v>5204</v>
      </c>
      <c r="M3984" t="s">
        <v>4472</v>
      </c>
      <c r="N3984" t="str">
        <f>"248030200925"</f>
        <v>248030200925</v>
      </c>
      <c r="O3984" t="str">
        <f>"460104199809111221"</f>
        <v>460104199809111221</v>
      </c>
    </row>
    <row r="3985" customFormat="1" spans="1:15">
      <c r="A3985">
        <v>5205</v>
      </c>
      <c r="B3985" t="s">
        <v>4473</v>
      </c>
      <c r="C3985" t="str">
        <f>"460004199410054119"</f>
        <v>460004199410054119</v>
      </c>
      <c r="D3985" t="str">
        <f>"248030202203"</f>
        <v>248030202203</v>
      </c>
      <c r="L3985">
        <v>5205</v>
      </c>
      <c r="M3985" t="s">
        <v>4473</v>
      </c>
      <c r="N3985" t="str">
        <f>"248030202203"</f>
        <v>248030202203</v>
      </c>
      <c r="O3985" t="str">
        <f>"460004199410054119"</f>
        <v>460004199410054119</v>
      </c>
    </row>
    <row r="3986" customFormat="1" spans="1:15">
      <c r="A3986">
        <v>5208</v>
      </c>
      <c r="B3986" t="s">
        <v>4474</v>
      </c>
      <c r="C3986" t="str">
        <f>"460004200102203421"</f>
        <v>460004200102203421</v>
      </c>
      <c r="D3986" t="str">
        <f>"248030101211"</f>
        <v>248030101211</v>
      </c>
      <c r="L3986">
        <v>5208</v>
      </c>
      <c r="M3986" t="s">
        <v>4474</v>
      </c>
      <c r="N3986" t="str">
        <f>"248030101211"</f>
        <v>248030101211</v>
      </c>
      <c r="O3986" t="str">
        <f>"460004200102203421"</f>
        <v>460004200102203421</v>
      </c>
    </row>
    <row r="3987" customFormat="1" spans="1:15">
      <c r="A3987">
        <v>5209</v>
      </c>
      <c r="B3987" t="s">
        <v>4475</v>
      </c>
      <c r="C3987" t="str">
        <f>"460004199312065228"</f>
        <v>460004199312065228</v>
      </c>
      <c r="D3987" t="str">
        <f>"248030502126"</f>
        <v>248030502126</v>
      </c>
      <c r="L3987">
        <v>5209</v>
      </c>
      <c r="M3987" t="s">
        <v>4475</v>
      </c>
      <c r="N3987" t="str">
        <f>"248030502126"</f>
        <v>248030502126</v>
      </c>
      <c r="O3987" t="str">
        <f>"460004199312065228"</f>
        <v>460004199312065228</v>
      </c>
    </row>
    <row r="3988" customFormat="1" spans="1:15">
      <c r="A3988">
        <v>5210</v>
      </c>
      <c r="B3988" t="s">
        <v>4476</v>
      </c>
      <c r="C3988" t="str">
        <f>"469007200203110029"</f>
        <v>469007200203110029</v>
      </c>
      <c r="D3988" t="str">
        <f>"248030200712"</f>
        <v>248030200712</v>
      </c>
      <c r="L3988">
        <v>5210</v>
      </c>
      <c r="M3988" t="s">
        <v>4476</v>
      </c>
      <c r="N3988" t="str">
        <f>"248030200712"</f>
        <v>248030200712</v>
      </c>
      <c r="O3988" t="str">
        <f>"469007200203110029"</f>
        <v>469007200203110029</v>
      </c>
    </row>
    <row r="3989" customFormat="1" spans="1:15">
      <c r="A3989">
        <v>5211</v>
      </c>
      <c r="B3989" t="s">
        <v>4477</v>
      </c>
      <c r="C3989" t="str">
        <f>"460002200101196626"</f>
        <v>460002200101196626</v>
      </c>
      <c r="D3989" t="str">
        <f>"248030503019"</f>
        <v>248030503019</v>
      </c>
      <c r="L3989">
        <v>5211</v>
      </c>
      <c r="M3989" t="s">
        <v>4477</v>
      </c>
      <c r="N3989" t="str">
        <f>"248030503019"</f>
        <v>248030503019</v>
      </c>
      <c r="O3989" t="str">
        <f>"460002200101196626"</f>
        <v>460002200101196626</v>
      </c>
    </row>
    <row r="3990" customFormat="1" spans="1:15">
      <c r="A3990">
        <v>5212</v>
      </c>
      <c r="B3990" t="s">
        <v>4478</v>
      </c>
      <c r="C3990" t="str">
        <f>"150203199609200664"</f>
        <v>150203199609200664</v>
      </c>
      <c r="D3990" t="str">
        <f>"248030400927"</f>
        <v>248030400927</v>
      </c>
      <c r="L3990">
        <v>5212</v>
      </c>
      <c r="M3990" t="s">
        <v>4478</v>
      </c>
      <c r="N3990" t="str">
        <f>"248030400927"</f>
        <v>248030400927</v>
      </c>
      <c r="O3990" t="str">
        <f>"150203199609200664"</f>
        <v>150203199609200664</v>
      </c>
    </row>
    <row r="3991" customFormat="1" spans="1:15">
      <c r="A3991">
        <v>5213</v>
      </c>
      <c r="B3991" t="s">
        <v>4479</v>
      </c>
      <c r="C3991" t="str">
        <f>"460004198810202622"</f>
        <v>460004198810202622</v>
      </c>
      <c r="D3991" t="str">
        <f>"248030501901"</f>
        <v>248030501901</v>
      </c>
      <c r="L3991">
        <v>5213</v>
      </c>
      <c r="M3991" t="s">
        <v>4479</v>
      </c>
      <c r="N3991" t="str">
        <f>"248030501901"</f>
        <v>248030501901</v>
      </c>
      <c r="O3991" t="str">
        <f>"460004198810202622"</f>
        <v>460004198810202622</v>
      </c>
    </row>
    <row r="3992" customFormat="1" spans="1:15">
      <c r="A3992">
        <v>5214</v>
      </c>
      <c r="B3992" t="s">
        <v>4480</v>
      </c>
      <c r="C3992" t="str">
        <f>"460003199506164447"</f>
        <v>460003199506164447</v>
      </c>
      <c r="D3992" t="str">
        <f>"248030502123"</f>
        <v>248030502123</v>
      </c>
      <c r="L3992">
        <v>5214</v>
      </c>
      <c r="M3992" t="s">
        <v>4480</v>
      </c>
      <c r="N3992" t="str">
        <f>"248030502123"</f>
        <v>248030502123</v>
      </c>
      <c r="O3992" t="str">
        <f>"460003199506164447"</f>
        <v>460003199506164447</v>
      </c>
    </row>
    <row r="3993" customFormat="1" spans="1:15">
      <c r="A3993">
        <v>5215</v>
      </c>
      <c r="B3993" t="s">
        <v>4481</v>
      </c>
      <c r="C3993" t="str">
        <f>"469024199705152844"</f>
        <v>469024199705152844</v>
      </c>
      <c r="D3993" t="str">
        <f>"248030200829"</f>
        <v>248030200829</v>
      </c>
      <c r="L3993">
        <v>5215</v>
      </c>
      <c r="M3993" t="s">
        <v>4481</v>
      </c>
      <c r="N3993" t="str">
        <f>"248030200829"</f>
        <v>248030200829</v>
      </c>
      <c r="O3993" t="str">
        <f>"469024199705152844"</f>
        <v>469024199705152844</v>
      </c>
    </row>
    <row r="3994" customFormat="1" spans="1:15">
      <c r="A3994">
        <v>5216</v>
      </c>
      <c r="B3994" t="s">
        <v>2816</v>
      </c>
      <c r="C3994" t="str">
        <f>"469021199908193321"</f>
        <v>469021199908193321</v>
      </c>
      <c r="D3994" t="str">
        <f>"248030502427"</f>
        <v>248030502427</v>
      </c>
      <c r="L3994">
        <v>5216</v>
      </c>
      <c r="M3994" t="s">
        <v>2816</v>
      </c>
      <c r="N3994" t="str">
        <f>"248030502427"</f>
        <v>248030502427</v>
      </c>
      <c r="O3994" t="str">
        <f>"469021199908193321"</f>
        <v>469021199908193321</v>
      </c>
    </row>
    <row r="3995" customFormat="1" spans="1:15">
      <c r="A3995">
        <v>5217</v>
      </c>
      <c r="B3995" t="s">
        <v>4482</v>
      </c>
      <c r="C3995" t="str">
        <f>"460103199504201529"</f>
        <v>460103199504201529</v>
      </c>
      <c r="D3995" t="str">
        <f>"248030504130"</f>
        <v>248030504130</v>
      </c>
      <c r="L3995">
        <v>5217</v>
      </c>
      <c r="M3995" t="s">
        <v>4482</v>
      </c>
      <c r="N3995" t="str">
        <f>"248030504130"</f>
        <v>248030504130</v>
      </c>
      <c r="O3995" t="str">
        <f>"460103199504201529"</f>
        <v>460103199504201529</v>
      </c>
    </row>
    <row r="3996" customFormat="1" spans="1:15">
      <c r="A3996">
        <v>5219</v>
      </c>
      <c r="B3996" t="s">
        <v>4483</v>
      </c>
      <c r="C3996" t="str">
        <f>"460006199401175229"</f>
        <v>460006199401175229</v>
      </c>
      <c r="D3996" t="str">
        <f>"248030302408"</f>
        <v>248030302408</v>
      </c>
      <c r="L3996">
        <v>5219</v>
      </c>
      <c r="M3996" t="s">
        <v>4483</v>
      </c>
      <c r="N3996" t="str">
        <f>"248030302408"</f>
        <v>248030302408</v>
      </c>
      <c r="O3996" t="str">
        <f>"460006199401175229"</f>
        <v>460006199401175229</v>
      </c>
    </row>
    <row r="3997" customFormat="1" spans="1:15">
      <c r="A3997">
        <v>5220</v>
      </c>
      <c r="B3997" t="s">
        <v>4484</v>
      </c>
      <c r="C3997" t="str">
        <f>"460006199212115921"</f>
        <v>460006199212115921</v>
      </c>
      <c r="D3997" t="str">
        <f>"248030400924"</f>
        <v>248030400924</v>
      </c>
      <c r="L3997">
        <v>5220</v>
      </c>
      <c r="M3997" t="s">
        <v>4484</v>
      </c>
      <c r="N3997" t="str">
        <f>"248030400924"</f>
        <v>248030400924</v>
      </c>
      <c r="O3997" t="str">
        <f>"460006199212115921"</f>
        <v>460006199212115921</v>
      </c>
    </row>
    <row r="3998" customFormat="1" spans="1:15">
      <c r="A3998">
        <v>5221</v>
      </c>
      <c r="B3998" t="s">
        <v>4485</v>
      </c>
      <c r="C3998" t="str">
        <f>"469026200009255223"</f>
        <v>469026200009255223</v>
      </c>
      <c r="D3998" t="str">
        <f>"248030403003"</f>
        <v>248030403003</v>
      </c>
      <c r="L3998">
        <v>5221</v>
      </c>
      <c r="M3998" t="s">
        <v>4485</v>
      </c>
      <c r="N3998" t="str">
        <f>"248030403003"</f>
        <v>248030403003</v>
      </c>
      <c r="O3998" t="str">
        <f>"469026200009255223"</f>
        <v>469026200009255223</v>
      </c>
    </row>
    <row r="3999" customFormat="1" spans="1:15">
      <c r="A3999">
        <v>5222</v>
      </c>
      <c r="B3999" t="s">
        <v>4486</v>
      </c>
      <c r="C3999" t="str">
        <f>"522633198502181068"</f>
        <v>522633198502181068</v>
      </c>
      <c r="L3999">
        <v>5222</v>
      </c>
      <c r="M3999" t="s">
        <v>4486</v>
      </c>
      <c r="O3999" t="str">
        <f>"522633198502181068"</f>
        <v>522633198502181068</v>
      </c>
    </row>
    <row r="4000" customFormat="1" spans="1:15">
      <c r="A4000">
        <v>5223</v>
      </c>
      <c r="B4000" t="s">
        <v>1833</v>
      </c>
      <c r="C4000" t="str">
        <f>"460033199611013286"</f>
        <v>460033199611013286</v>
      </c>
      <c r="L4000">
        <v>5223</v>
      </c>
      <c r="M4000" t="s">
        <v>1833</v>
      </c>
      <c r="O4000" t="str">
        <f>"460033199611013286"</f>
        <v>460033199611013286</v>
      </c>
    </row>
    <row r="4001" customFormat="1" spans="1:15">
      <c r="A4001">
        <v>5224</v>
      </c>
      <c r="B4001" t="s">
        <v>4487</v>
      </c>
      <c r="C4001" t="str">
        <f>"460102200012072723"</f>
        <v>460102200012072723</v>
      </c>
      <c r="D4001" t="str">
        <f>"248030102315"</f>
        <v>248030102315</v>
      </c>
      <c r="L4001">
        <v>5224</v>
      </c>
      <c r="M4001" t="s">
        <v>4487</v>
      </c>
      <c r="N4001" t="str">
        <f>"248030102315"</f>
        <v>248030102315</v>
      </c>
      <c r="O4001" t="str">
        <f>"460102200012072723"</f>
        <v>460102200012072723</v>
      </c>
    </row>
    <row r="4002" customFormat="1" spans="1:15">
      <c r="A4002">
        <v>5225</v>
      </c>
      <c r="B4002" t="s">
        <v>4488</v>
      </c>
      <c r="C4002" t="str">
        <f>"460033199809130381"</f>
        <v>460033199809130381</v>
      </c>
      <c r="D4002" t="str">
        <f>"248030104013"</f>
        <v>248030104013</v>
      </c>
      <c r="L4002">
        <v>5225</v>
      </c>
      <c r="M4002" t="s">
        <v>4488</v>
      </c>
      <c r="N4002" t="str">
        <f>"248030104013"</f>
        <v>248030104013</v>
      </c>
      <c r="O4002" t="str">
        <f>"460033199809130381"</f>
        <v>460033199809130381</v>
      </c>
    </row>
    <row r="4003" customFormat="1" spans="1:15">
      <c r="A4003">
        <v>5226</v>
      </c>
      <c r="B4003" t="s">
        <v>4489</v>
      </c>
      <c r="C4003" t="str">
        <f>"460002199201065214"</f>
        <v>460002199201065214</v>
      </c>
      <c r="L4003">
        <v>5226</v>
      </c>
      <c r="M4003" t="s">
        <v>4489</v>
      </c>
      <c r="O4003" t="str">
        <f>"460002199201065214"</f>
        <v>460002199201065214</v>
      </c>
    </row>
    <row r="4004" customFormat="1" spans="1:15">
      <c r="A4004">
        <v>5227</v>
      </c>
      <c r="B4004" t="s">
        <v>4490</v>
      </c>
      <c r="C4004" t="str">
        <f>"460007199707265004"</f>
        <v>460007199707265004</v>
      </c>
      <c r="D4004" t="str">
        <f>"248030200512"</f>
        <v>248030200512</v>
      </c>
      <c r="L4004">
        <v>5227</v>
      </c>
      <c r="M4004" t="s">
        <v>4490</v>
      </c>
      <c r="N4004" t="str">
        <f>"248030200512"</f>
        <v>248030200512</v>
      </c>
      <c r="O4004" t="str">
        <f>"460007199707265004"</f>
        <v>460007199707265004</v>
      </c>
    </row>
    <row r="4005" customFormat="1" spans="1:15">
      <c r="A4005">
        <v>5229</v>
      </c>
      <c r="B4005" t="s">
        <v>4491</v>
      </c>
      <c r="C4005" t="str">
        <f>"460003199709022027"</f>
        <v>460003199709022027</v>
      </c>
      <c r="D4005" t="str">
        <f>"248030401520"</f>
        <v>248030401520</v>
      </c>
      <c r="L4005">
        <v>5229</v>
      </c>
      <c r="M4005" t="s">
        <v>4491</v>
      </c>
      <c r="N4005" t="str">
        <f>"248030401520"</f>
        <v>248030401520</v>
      </c>
      <c r="O4005" t="str">
        <f>"460003199709022027"</f>
        <v>460003199709022027</v>
      </c>
    </row>
    <row r="4006" customFormat="1" spans="1:15">
      <c r="A4006">
        <v>5230</v>
      </c>
      <c r="B4006" t="s">
        <v>4492</v>
      </c>
      <c r="C4006" t="str">
        <f>"500243200009292747"</f>
        <v>500243200009292747</v>
      </c>
      <c r="D4006" t="str">
        <f>"248030203711"</f>
        <v>248030203711</v>
      </c>
      <c r="L4006">
        <v>5230</v>
      </c>
      <c r="M4006" t="s">
        <v>4492</v>
      </c>
      <c r="N4006" t="str">
        <f>"248030203711"</f>
        <v>248030203711</v>
      </c>
      <c r="O4006" t="str">
        <f>"500243200009292747"</f>
        <v>500243200009292747</v>
      </c>
    </row>
    <row r="4007" customFormat="1" spans="1:15">
      <c r="A4007">
        <v>5231</v>
      </c>
      <c r="B4007" t="s">
        <v>4493</v>
      </c>
      <c r="C4007" t="str">
        <f>"469001200308050722"</f>
        <v>469001200308050722</v>
      </c>
      <c r="D4007" t="str">
        <f>"248030502926"</f>
        <v>248030502926</v>
      </c>
      <c r="L4007">
        <v>5231</v>
      </c>
      <c r="M4007" t="s">
        <v>4493</v>
      </c>
      <c r="N4007" t="str">
        <f>"248030502926"</f>
        <v>248030502926</v>
      </c>
      <c r="O4007" t="str">
        <f>"469001200308050722"</f>
        <v>469001200308050722</v>
      </c>
    </row>
    <row r="4008" customFormat="1" spans="1:15">
      <c r="A4008">
        <v>5232</v>
      </c>
      <c r="B4008" t="s">
        <v>65</v>
      </c>
      <c r="C4008" t="str">
        <f>"460102199305302726"</f>
        <v>460102199305302726</v>
      </c>
      <c r="D4008" t="str">
        <f>"248030301705"</f>
        <v>248030301705</v>
      </c>
      <c r="L4008">
        <v>5232</v>
      </c>
      <c r="M4008" t="s">
        <v>65</v>
      </c>
      <c r="N4008" t="str">
        <f>"248030301705"</f>
        <v>248030301705</v>
      </c>
      <c r="O4008" t="str">
        <f>"460102199305302726"</f>
        <v>460102199305302726</v>
      </c>
    </row>
    <row r="4009" customFormat="1" spans="1:15">
      <c r="A4009">
        <v>5233</v>
      </c>
      <c r="B4009" t="s">
        <v>4494</v>
      </c>
      <c r="C4009" t="str">
        <f>"441581200210068842"</f>
        <v>441581200210068842</v>
      </c>
      <c r="D4009" t="str">
        <f>"248030100816"</f>
        <v>248030100816</v>
      </c>
      <c r="L4009">
        <v>5233</v>
      </c>
      <c r="M4009" t="s">
        <v>4494</v>
      </c>
      <c r="N4009" t="str">
        <f>"248030100816"</f>
        <v>248030100816</v>
      </c>
      <c r="O4009" t="str">
        <f>"441581200210068842"</f>
        <v>441581200210068842</v>
      </c>
    </row>
    <row r="4010" customFormat="1" spans="1:15">
      <c r="A4010">
        <v>5234</v>
      </c>
      <c r="B4010" t="s">
        <v>4495</v>
      </c>
      <c r="C4010" t="str">
        <f>"460104200203070328"</f>
        <v>460104200203070328</v>
      </c>
      <c r="D4010" t="str">
        <f>"248030100119"</f>
        <v>248030100119</v>
      </c>
      <c r="L4010">
        <v>5234</v>
      </c>
      <c r="M4010" t="s">
        <v>4495</v>
      </c>
      <c r="N4010" t="str">
        <f>"248030100119"</f>
        <v>248030100119</v>
      </c>
      <c r="O4010" t="str">
        <f>"460104200203070328"</f>
        <v>460104200203070328</v>
      </c>
    </row>
    <row r="4011" customFormat="1" spans="1:15">
      <c r="A4011">
        <v>5235</v>
      </c>
      <c r="B4011" t="s">
        <v>1090</v>
      </c>
      <c r="C4011" t="str">
        <f>"460034199702010028"</f>
        <v>460034199702010028</v>
      </c>
      <c r="D4011" t="str">
        <f>"248030300925"</f>
        <v>248030300925</v>
      </c>
      <c r="L4011">
        <v>5235</v>
      </c>
      <c r="M4011" t="s">
        <v>1090</v>
      </c>
      <c r="N4011" t="str">
        <f>"248030300925"</f>
        <v>248030300925</v>
      </c>
      <c r="O4011" t="str">
        <f>"460034199702010028"</f>
        <v>460034199702010028</v>
      </c>
    </row>
    <row r="4012" customFormat="1" spans="1:15">
      <c r="A4012">
        <v>5236</v>
      </c>
      <c r="B4012" t="s">
        <v>4496</v>
      </c>
      <c r="C4012" t="str">
        <f>"469003200107072223"</f>
        <v>469003200107072223</v>
      </c>
      <c r="D4012" t="str">
        <f>"248030402802"</f>
        <v>248030402802</v>
      </c>
      <c r="L4012">
        <v>5236</v>
      </c>
      <c r="M4012" t="s">
        <v>4496</v>
      </c>
      <c r="N4012" t="str">
        <f>"248030402802"</f>
        <v>248030402802</v>
      </c>
      <c r="O4012" t="str">
        <f>"469003200107072223"</f>
        <v>469003200107072223</v>
      </c>
    </row>
    <row r="4013" customFormat="1" spans="1:15">
      <c r="A4013">
        <v>5237</v>
      </c>
      <c r="B4013" t="s">
        <v>4497</v>
      </c>
      <c r="C4013" t="str">
        <f>"460026200102283327"</f>
        <v>460026200102283327</v>
      </c>
      <c r="D4013" t="str">
        <f>"248030300209"</f>
        <v>248030300209</v>
      </c>
      <c r="L4013">
        <v>5237</v>
      </c>
      <c r="M4013" t="s">
        <v>4497</v>
      </c>
      <c r="N4013" t="str">
        <f>"248030300209"</f>
        <v>248030300209</v>
      </c>
      <c r="O4013" t="str">
        <f>"460026200102283327"</f>
        <v>460026200102283327</v>
      </c>
    </row>
    <row r="4014" customFormat="1" spans="1:15">
      <c r="A4014">
        <v>5240</v>
      </c>
      <c r="B4014" t="s">
        <v>4498</v>
      </c>
      <c r="C4014" t="str">
        <f>"46010419970820092X"</f>
        <v>46010419970820092X</v>
      </c>
      <c r="D4014" t="str">
        <f>"248030101423"</f>
        <v>248030101423</v>
      </c>
      <c r="L4014">
        <v>5240</v>
      </c>
      <c r="M4014" t="s">
        <v>4498</v>
      </c>
      <c r="N4014" t="str">
        <f>"248030101423"</f>
        <v>248030101423</v>
      </c>
      <c r="O4014" t="str">
        <f>"46010419970820092X"</f>
        <v>46010419970820092X</v>
      </c>
    </row>
    <row r="4015" customFormat="1" spans="1:15">
      <c r="A4015">
        <v>5242</v>
      </c>
      <c r="B4015" t="s">
        <v>4499</v>
      </c>
      <c r="C4015" t="str">
        <f>"460003199710253025"</f>
        <v>460003199710253025</v>
      </c>
      <c r="D4015" t="str">
        <f>"248030503203"</f>
        <v>248030503203</v>
      </c>
      <c r="L4015">
        <v>5242</v>
      </c>
      <c r="M4015" t="s">
        <v>4499</v>
      </c>
      <c r="N4015" t="str">
        <f>"248030503203"</f>
        <v>248030503203</v>
      </c>
      <c r="O4015" t="str">
        <f>"460003199710253025"</f>
        <v>460003199710253025</v>
      </c>
    </row>
    <row r="4016" customFormat="1" spans="1:15">
      <c r="A4016">
        <v>5243</v>
      </c>
      <c r="B4016" t="s">
        <v>4500</v>
      </c>
      <c r="C4016" t="str">
        <f>"460200199601185125"</f>
        <v>460200199601185125</v>
      </c>
      <c r="D4016" t="str">
        <f>"248030400125"</f>
        <v>248030400125</v>
      </c>
      <c r="L4016">
        <v>5243</v>
      </c>
      <c r="M4016" t="s">
        <v>4500</v>
      </c>
      <c r="N4016" t="str">
        <f>"248030400125"</f>
        <v>248030400125</v>
      </c>
      <c r="O4016" t="str">
        <f>"460200199601185125"</f>
        <v>460200199601185125</v>
      </c>
    </row>
    <row r="4017" customFormat="1" spans="1:15">
      <c r="A4017">
        <v>5246</v>
      </c>
      <c r="B4017" t="s">
        <v>347</v>
      </c>
      <c r="C4017" t="str">
        <f>"460004198701023449"</f>
        <v>460004198701023449</v>
      </c>
      <c r="D4017" t="str">
        <f>"248030302005"</f>
        <v>248030302005</v>
      </c>
      <c r="L4017">
        <v>5246</v>
      </c>
      <c r="M4017" t="s">
        <v>347</v>
      </c>
      <c r="N4017" t="str">
        <f>"248030302005"</f>
        <v>248030302005</v>
      </c>
      <c r="O4017" t="str">
        <f>"460004198701023449"</f>
        <v>460004198701023449</v>
      </c>
    </row>
    <row r="4018" customFormat="1" spans="1:15">
      <c r="A4018">
        <v>5247</v>
      </c>
      <c r="B4018" t="s">
        <v>4501</v>
      </c>
      <c r="C4018" t="str">
        <f>"362330199409162507"</f>
        <v>362330199409162507</v>
      </c>
      <c r="D4018" t="str">
        <f>"248030503004"</f>
        <v>248030503004</v>
      </c>
      <c r="L4018">
        <v>5247</v>
      </c>
      <c r="M4018" t="s">
        <v>4501</v>
      </c>
      <c r="N4018" t="str">
        <f>"248030503004"</f>
        <v>248030503004</v>
      </c>
      <c r="O4018" t="str">
        <f>"362330199409162507"</f>
        <v>362330199409162507</v>
      </c>
    </row>
    <row r="4019" customFormat="1" spans="1:15">
      <c r="A4019">
        <v>5248</v>
      </c>
      <c r="B4019" t="s">
        <v>4502</v>
      </c>
      <c r="C4019" t="str">
        <f>"460033199702033223"</f>
        <v>460033199702033223</v>
      </c>
      <c r="D4019" t="str">
        <f>"248030101902"</f>
        <v>248030101902</v>
      </c>
      <c r="L4019">
        <v>5248</v>
      </c>
      <c r="M4019" t="s">
        <v>4502</v>
      </c>
      <c r="N4019" t="str">
        <f>"248030101902"</f>
        <v>248030101902</v>
      </c>
      <c r="O4019" t="str">
        <f>"460033199702033223"</f>
        <v>460033199702033223</v>
      </c>
    </row>
    <row r="4020" customFormat="1" spans="1:15">
      <c r="A4020">
        <v>5249</v>
      </c>
      <c r="B4020" t="s">
        <v>4503</v>
      </c>
      <c r="C4020" t="str">
        <f>"460004199904120817"</f>
        <v>460004199904120817</v>
      </c>
      <c r="D4020" t="str">
        <f>"248030301925"</f>
        <v>248030301925</v>
      </c>
      <c r="L4020">
        <v>5249</v>
      </c>
      <c r="M4020" t="s">
        <v>4503</v>
      </c>
      <c r="N4020" t="str">
        <f>"248030301925"</f>
        <v>248030301925</v>
      </c>
      <c r="O4020" t="str">
        <f>"460004199904120817"</f>
        <v>460004199904120817</v>
      </c>
    </row>
    <row r="4021" customFormat="1" spans="1:15">
      <c r="A4021">
        <v>5250</v>
      </c>
      <c r="B4021" t="s">
        <v>4504</v>
      </c>
      <c r="C4021" t="str">
        <f>"460003200305250221"</f>
        <v>460003200305250221</v>
      </c>
      <c r="D4021" t="str">
        <f>"248030502311"</f>
        <v>248030502311</v>
      </c>
      <c r="L4021">
        <v>5250</v>
      </c>
      <c r="M4021" t="s">
        <v>4504</v>
      </c>
      <c r="N4021" t="str">
        <f>"248030502311"</f>
        <v>248030502311</v>
      </c>
      <c r="O4021" t="str">
        <f>"460003200305250221"</f>
        <v>460003200305250221</v>
      </c>
    </row>
    <row r="4022" customFormat="1" spans="1:15">
      <c r="A4022">
        <v>5251</v>
      </c>
      <c r="B4022" t="s">
        <v>4505</v>
      </c>
      <c r="C4022" t="str">
        <f>"460103200207081837"</f>
        <v>460103200207081837</v>
      </c>
      <c r="D4022" t="str">
        <f>"248030200215"</f>
        <v>248030200215</v>
      </c>
      <c r="L4022">
        <v>5251</v>
      </c>
      <c r="M4022" t="s">
        <v>4505</v>
      </c>
      <c r="N4022" t="str">
        <f>"248030200215"</f>
        <v>248030200215</v>
      </c>
      <c r="O4022" t="str">
        <f>"460103200207081837"</f>
        <v>460103200207081837</v>
      </c>
    </row>
    <row r="4023" customFormat="1" spans="1:15">
      <c r="A4023">
        <v>5252</v>
      </c>
      <c r="B4023" t="s">
        <v>4506</v>
      </c>
      <c r="C4023" t="str">
        <f>"46003320001218322X"</f>
        <v>46003320001218322X</v>
      </c>
      <c r="D4023" t="str">
        <f>"248030300501"</f>
        <v>248030300501</v>
      </c>
      <c r="L4023">
        <v>5252</v>
      </c>
      <c r="M4023" t="s">
        <v>4506</v>
      </c>
      <c r="N4023" t="str">
        <f>"248030300501"</f>
        <v>248030300501</v>
      </c>
      <c r="O4023" t="str">
        <f>"46003320001218322X"</f>
        <v>46003320001218322X</v>
      </c>
    </row>
    <row r="4024" customFormat="1" spans="1:15">
      <c r="A4024">
        <v>5253</v>
      </c>
      <c r="B4024" t="s">
        <v>4507</v>
      </c>
      <c r="C4024" t="str">
        <f>"460035199512130930"</f>
        <v>460035199512130930</v>
      </c>
      <c r="L4024">
        <v>5253</v>
      </c>
      <c r="M4024" t="s">
        <v>4507</v>
      </c>
      <c r="O4024" t="str">
        <f>"460035199512130930"</f>
        <v>460035199512130930</v>
      </c>
    </row>
    <row r="4025" customFormat="1" spans="1:15">
      <c r="A4025">
        <v>5254</v>
      </c>
      <c r="B4025" t="s">
        <v>4508</v>
      </c>
      <c r="C4025" t="str">
        <f>"460003199902030424"</f>
        <v>460003199902030424</v>
      </c>
      <c r="L4025">
        <v>5254</v>
      </c>
      <c r="M4025" t="s">
        <v>4508</v>
      </c>
      <c r="O4025" t="str">
        <f>"460003199902030424"</f>
        <v>460003199902030424</v>
      </c>
    </row>
    <row r="4026" customFormat="1" spans="1:15">
      <c r="A4026">
        <v>5255</v>
      </c>
      <c r="B4026" t="s">
        <v>4509</v>
      </c>
      <c r="C4026" t="str">
        <f>"460102199607301227"</f>
        <v>460102199607301227</v>
      </c>
      <c r="D4026" t="str">
        <f>"248030202707"</f>
        <v>248030202707</v>
      </c>
      <c r="L4026">
        <v>5255</v>
      </c>
      <c r="M4026" t="s">
        <v>4509</v>
      </c>
      <c r="N4026" t="str">
        <f>"248030202707"</f>
        <v>248030202707</v>
      </c>
      <c r="O4026" t="str">
        <f>"460102199607301227"</f>
        <v>460102199607301227</v>
      </c>
    </row>
    <row r="4027" customFormat="1" spans="1:15">
      <c r="A4027">
        <v>5257</v>
      </c>
      <c r="B4027" t="s">
        <v>4510</v>
      </c>
      <c r="C4027" t="str">
        <f>"469007199307097265"</f>
        <v>469007199307097265</v>
      </c>
      <c r="D4027" t="str">
        <f>"248030100909"</f>
        <v>248030100909</v>
      </c>
      <c r="L4027">
        <v>5257</v>
      </c>
      <c r="M4027" t="s">
        <v>4510</v>
      </c>
      <c r="N4027" t="str">
        <f>"248030100909"</f>
        <v>248030100909</v>
      </c>
      <c r="O4027" t="str">
        <f>"469007199307097265"</f>
        <v>469007199307097265</v>
      </c>
    </row>
    <row r="4028" customFormat="1" spans="1:15">
      <c r="A4028">
        <v>5258</v>
      </c>
      <c r="B4028" t="s">
        <v>4511</v>
      </c>
      <c r="C4028" t="str">
        <f>"460102199609200024"</f>
        <v>460102199609200024</v>
      </c>
      <c r="D4028" t="str">
        <f>"248030100706"</f>
        <v>248030100706</v>
      </c>
      <c r="L4028">
        <v>5258</v>
      </c>
      <c r="M4028" t="s">
        <v>4511</v>
      </c>
      <c r="N4028" t="str">
        <f>"248030100706"</f>
        <v>248030100706</v>
      </c>
      <c r="O4028" t="str">
        <f>"460102199609200024"</f>
        <v>460102199609200024</v>
      </c>
    </row>
    <row r="4029" customFormat="1" spans="1:15">
      <c r="A4029">
        <v>5259</v>
      </c>
      <c r="B4029" t="s">
        <v>529</v>
      </c>
      <c r="C4029" t="str">
        <f>"460007199210305760"</f>
        <v>460007199210305760</v>
      </c>
      <c r="D4029" t="str">
        <f>"248030403306"</f>
        <v>248030403306</v>
      </c>
      <c r="L4029">
        <v>5259</v>
      </c>
      <c r="M4029" t="s">
        <v>529</v>
      </c>
      <c r="N4029" t="str">
        <f>"248030403306"</f>
        <v>248030403306</v>
      </c>
      <c r="O4029" t="str">
        <f>"460007199210305760"</f>
        <v>460007199210305760</v>
      </c>
    </row>
    <row r="4030" customFormat="1" spans="1:15">
      <c r="A4030">
        <v>5260</v>
      </c>
      <c r="B4030" t="s">
        <v>802</v>
      </c>
      <c r="C4030" t="str">
        <f>"460002199911080013"</f>
        <v>460002199911080013</v>
      </c>
      <c r="D4030" t="str">
        <f>"248030404109"</f>
        <v>248030404109</v>
      </c>
      <c r="L4030">
        <v>5260</v>
      </c>
      <c r="M4030" t="s">
        <v>802</v>
      </c>
      <c r="N4030" t="str">
        <f>"248030404109"</f>
        <v>248030404109</v>
      </c>
      <c r="O4030" t="str">
        <f>"460002199911080013"</f>
        <v>460002199911080013</v>
      </c>
    </row>
    <row r="4031" customFormat="1" spans="1:15">
      <c r="A4031">
        <v>5261</v>
      </c>
      <c r="B4031" t="s">
        <v>4512</v>
      </c>
      <c r="C4031" t="str">
        <f>"460004199410202628"</f>
        <v>460004199410202628</v>
      </c>
      <c r="D4031" t="str">
        <f>"248030400226"</f>
        <v>248030400226</v>
      </c>
      <c r="L4031">
        <v>5261</v>
      </c>
      <c r="M4031" t="s">
        <v>4512</v>
      </c>
      <c r="N4031" t="str">
        <f>"248030400226"</f>
        <v>248030400226</v>
      </c>
      <c r="O4031" t="str">
        <f>"460004199410202628"</f>
        <v>460004199410202628</v>
      </c>
    </row>
    <row r="4032" customFormat="1" spans="1:15">
      <c r="A4032">
        <v>5262</v>
      </c>
      <c r="B4032" t="s">
        <v>4513</v>
      </c>
      <c r="C4032" t="str">
        <f>"460006199901260024"</f>
        <v>460006199901260024</v>
      </c>
      <c r="D4032" t="str">
        <f>"248030502622"</f>
        <v>248030502622</v>
      </c>
      <c r="L4032">
        <v>5262</v>
      </c>
      <c r="M4032" t="s">
        <v>4513</v>
      </c>
      <c r="N4032" t="str">
        <f>"248030502622"</f>
        <v>248030502622</v>
      </c>
      <c r="O4032" t="str">
        <f>"460006199901260024"</f>
        <v>460006199901260024</v>
      </c>
    </row>
    <row r="4033" customFormat="1" spans="1:15">
      <c r="A4033">
        <v>5263</v>
      </c>
      <c r="B4033" t="s">
        <v>4514</v>
      </c>
      <c r="C4033" t="str">
        <f>"460004199507303820"</f>
        <v>460004199507303820</v>
      </c>
      <c r="D4033" t="str">
        <f>"248030101922"</f>
        <v>248030101922</v>
      </c>
      <c r="L4033">
        <v>5263</v>
      </c>
      <c r="M4033" t="s">
        <v>4514</v>
      </c>
      <c r="N4033" t="str">
        <f>"248030101922"</f>
        <v>248030101922</v>
      </c>
      <c r="O4033" t="str">
        <f>"460004199507303820"</f>
        <v>460004199507303820</v>
      </c>
    </row>
    <row r="4034" customFormat="1" spans="1:15">
      <c r="A4034">
        <v>5264</v>
      </c>
      <c r="B4034" t="s">
        <v>4515</v>
      </c>
      <c r="C4034" t="str">
        <f>"460003199304073061"</f>
        <v>460003199304073061</v>
      </c>
      <c r="D4034" t="str">
        <f>"248030402908"</f>
        <v>248030402908</v>
      </c>
      <c r="L4034">
        <v>5264</v>
      </c>
      <c r="M4034" t="s">
        <v>4515</v>
      </c>
      <c r="N4034" t="str">
        <f>"248030402908"</f>
        <v>248030402908</v>
      </c>
      <c r="O4034" t="str">
        <f>"460003199304073061"</f>
        <v>460003199304073061</v>
      </c>
    </row>
    <row r="4035" customFormat="1" spans="1:15">
      <c r="A4035">
        <v>5265</v>
      </c>
      <c r="B4035" t="s">
        <v>4516</v>
      </c>
      <c r="C4035" t="str">
        <f>"460007199701264967"</f>
        <v>460007199701264967</v>
      </c>
      <c r="D4035" t="str">
        <f>"248030402211"</f>
        <v>248030402211</v>
      </c>
      <c r="L4035">
        <v>5265</v>
      </c>
      <c r="M4035" t="s">
        <v>4516</v>
      </c>
      <c r="N4035" t="str">
        <f>"248030402211"</f>
        <v>248030402211</v>
      </c>
      <c r="O4035" t="str">
        <f>"460007199701264967"</f>
        <v>460007199701264967</v>
      </c>
    </row>
    <row r="4036" customFormat="1" spans="1:15">
      <c r="A4036">
        <v>5266</v>
      </c>
      <c r="B4036" t="s">
        <v>4517</v>
      </c>
      <c r="C4036" t="str">
        <f>"460004200006241022"</f>
        <v>460004200006241022</v>
      </c>
      <c r="D4036" t="str">
        <f>"248030102510"</f>
        <v>248030102510</v>
      </c>
      <c r="L4036">
        <v>5266</v>
      </c>
      <c r="M4036" t="s">
        <v>4517</v>
      </c>
      <c r="N4036" t="str">
        <f>"248030102510"</f>
        <v>248030102510</v>
      </c>
      <c r="O4036" t="str">
        <f>"460004200006241022"</f>
        <v>460004200006241022</v>
      </c>
    </row>
    <row r="4037" customFormat="1" spans="1:15">
      <c r="A4037">
        <v>5267</v>
      </c>
      <c r="B4037" t="s">
        <v>4518</v>
      </c>
      <c r="C4037" t="str">
        <f>"370902200208140320"</f>
        <v>370902200208140320</v>
      </c>
      <c r="D4037" t="str">
        <f>"248030500724"</f>
        <v>248030500724</v>
      </c>
      <c r="L4037">
        <v>5267</v>
      </c>
      <c r="M4037" t="s">
        <v>4518</v>
      </c>
      <c r="N4037" t="str">
        <f>"248030500724"</f>
        <v>248030500724</v>
      </c>
      <c r="O4037" t="str">
        <f>"370902200208140320"</f>
        <v>370902200208140320</v>
      </c>
    </row>
    <row r="4038" customFormat="1" spans="1:15">
      <c r="A4038">
        <v>5268</v>
      </c>
      <c r="B4038" t="s">
        <v>4519</v>
      </c>
      <c r="C4038" t="str">
        <f>"460033199611124904"</f>
        <v>460033199611124904</v>
      </c>
      <c r="D4038" t="str">
        <f>"248030103325"</f>
        <v>248030103325</v>
      </c>
      <c r="L4038">
        <v>5268</v>
      </c>
      <c r="M4038" t="s">
        <v>4519</v>
      </c>
      <c r="N4038" t="str">
        <f>"248030103325"</f>
        <v>248030103325</v>
      </c>
      <c r="O4038" t="str">
        <f>"460033199611124904"</f>
        <v>460033199611124904</v>
      </c>
    </row>
    <row r="4039" customFormat="1" spans="1:15">
      <c r="A4039">
        <v>5270</v>
      </c>
      <c r="B4039" t="s">
        <v>4520</v>
      </c>
      <c r="C4039" t="str">
        <f>"460103199807063629"</f>
        <v>460103199807063629</v>
      </c>
      <c r="D4039" t="str">
        <f>"248030104226"</f>
        <v>248030104226</v>
      </c>
      <c r="L4039">
        <v>5270</v>
      </c>
      <c r="M4039" t="s">
        <v>4520</v>
      </c>
      <c r="N4039" t="str">
        <f>"248030104226"</f>
        <v>248030104226</v>
      </c>
      <c r="O4039" t="str">
        <f>"460103199807063629"</f>
        <v>460103199807063629</v>
      </c>
    </row>
    <row r="4040" customFormat="1" spans="1:15">
      <c r="A4040">
        <v>5271</v>
      </c>
      <c r="B4040" t="s">
        <v>4521</v>
      </c>
      <c r="C4040" t="str">
        <f>"460003199810073048"</f>
        <v>460003199810073048</v>
      </c>
      <c r="D4040" t="str">
        <f>"248030402729"</f>
        <v>248030402729</v>
      </c>
      <c r="L4040">
        <v>5271</v>
      </c>
      <c r="M4040" t="s">
        <v>4521</v>
      </c>
      <c r="N4040" t="str">
        <f>"248030402729"</f>
        <v>248030402729</v>
      </c>
      <c r="O4040" t="str">
        <f>"460003199810073048"</f>
        <v>460003199810073048</v>
      </c>
    </row>
    <row r="4041" customFormat="1" spans="1:15">
      <c r="A4041">
        <v>5272</v>
      </c>
      <c r="B4041" t="s">
        <v>4522</v>
      </c>
      <c r="C4041" t="str">
        <f>"469023200110131349"</f>
        <v>469023200110131349</v>
      </c>
      <c r="D4041" t="str">
        <f>"248030300110"</f>
        <v>248030300110</v>
      </c>
      <c r="L4041">
        <v>5272</v>
      </c>
      <c r="M4041" t="s">
        <v>4522</v>
      </c>
      <c r="N4041" t="str">
        <f>"248030300110"</f>
        <v>248030300110</v>
      </c>
      <c r="O4041" t="str">
        <f>"469023200110131349"</f>
        <v>469023200110131349</v>
      </c>
    </row>
    <row r="4042" customFormat="1" spans="1:15">
      <c r="A4042">
        <v>5273</v>
      </c>
      <c r="B4042" t="s">
        <v>4523</v>
      </c>
      <c r="C4042" t="str">
        <f>"460003200201224627"</f>
        <v>460003200201224627</v>
      </c>
      <c r="D4042" t="str">
        <f>"248030104425"</f>
        <v>248030104425</v>
      </c>
      <c r="L4042">
        <v>5273</v>
      </c>
      <c r="M4042" t="s">
        <v>4523</v>
      </c>
      <c r="N4042" t="str">
        <f>"248030104425"</f>
        <v>248030104425</v>
      </c>
      <c r="O4042" t="str">
        <f>"460003200201224627"</f>
        <v>460003200201224627</v>
      </c>
    </row>
    <row r="4043" customFormat="1" spans="1:15">
      <c r="A4043">
        <v>5275</v>
      </c>
      <c r="B4043" t="s">
        <v>4524</v>
      </c>
      <c r="C4043" t="str">
        <f>"460007199803136165"</f>
        <v>460007199803136165</v>
      </c>
      <c r="D4043" t="str">
        <f>"248030103619"</f>
        <v>248030103619</v>
      </c>
      <c r="L4043">
        <v>5275</v>
      </c>
      <c r="M4043" t="s">
        <v>4524</v>
      </c>
      <c r="N4043" t="str">
        <f>"248030103619"</f>
        <v>248030103619</v>
      </c>
      <c r="O4043" t="str">
        <f>"460007199803136165"</f>
        <v>460007199803136165</v>
      </c>
    </row>
    <row r="4044" customFormat="1" spans="1:15">
      <c r="A4044">
        <v>5277</v>
      </c>
      <c r="B4044" t="s">
        <v>4525</v>
      </c>
      <c r="C4044" t="str">
        <f>"469027200101284808"</f>
        <v>469027200101284808</v>
      </c>
      <c r="D4044" t="str">
        <f>"248030402308"</f>
        <v>248030402308</v>
      </c>
      <c r="L4044">
        <v>5277</v>
      </c>
      <c r="M4044" t="s">
        <v>4525</v>
      </c>
      <c r="N4044" t="str">
        <f>"248030402308"</f>
        <v>248030402308</v>
      </c>
      <c r="O4044" t="str">
        <f>"469027200101284808"</f>
        <v>469027200101284808</v>
      </c>
    </row>
    <row r="4045" customFormat="1" spans="1:15">
      <c r="A4045">
        <v>5279</v>
      </c>
      <c r="B4045" t="s">
        <v>4526</v>
      </c>
      <c r="C4045" t="str">
        <f>"469030199710110814"</f>
        <v>469030199710110814</v>
      </c>
      <c r="D4045" t="str">
        <f>"248030400925"</f>
        <v>248030400925</v>
      </c>
      <c r="L4045">
        <v>5279</v>
      </c>
      <c r="M4045" t="s">
        <v>4526</v>
      </c>
      <c r="N4045" t="str">
        <f>"248030400925"</f>
        <v>248030400925</v>
      </c>
      <c r="O4045" t="str">
        <f>"469030199710110814"</f>
        <v>469030199710110814</v>
      </c>
    </row>
    <row r="4046" customFormat="1" spans="1:15">
      <c r="A4046">
        <v>5280</v>
      </c>
      <c r="B4046" t="s">
        <v>4527</v>
      </c>
      <c r="C4046" t="str">
        <f>"460003199508294624"</f>
        <v>460003199508294624</v>
      </c>
      <c r="D4046" t="str">
        <f>"248030100324"</f>
        <v>248030100324</v>
      </c>
      <c r="L4046">
        <v>5280</v>
      </c>
      <c r="M4046" t="s">
        <v>4527</v>
      </c>
      <c r="N4046" t="str">
        <f>"248030100324"</f>
        <v>248030100324</v>
      </c>
      <c r="O4046" t="str">
        <f>"460003199508294624"</f>
        <v>460003199508294624</v>
      </c>
    </row>
    <row r="4047" customFormat="1" spans="1:15">
      <c r="A4047">
        <v>5281</v>
      </c>
      <c r="B4047" t="s">
        <v>4528</v>
      </c>
      <c r="C4047" t="str">
        <f>"460108200201125028"</f>
        <v>460108200201125028</v>
      </c>
      <c r="D4047" t="str">
        <f>"248030502701"</f>
        <v>248030502701</v>
      </c>
      <c r="L4047">
        <v>5281</v>
      </c>
      <c r="M4047" t="s">
        <v>4528</v>
      </c>
      <c r="N4047" t="str">
        <f>"248030502701"</f>
        <v>248030502701</v>
      </c>
      <c r="O4047" t="str">
        <f>"460108200201125028"</f>
        <v>460108200201125028</v>
      </c>
    </row>
    <row r="4048" customFormat="1" spans="1:15">
      <c r="A4048">
        <v>5284</v>
      </c>
      <c r="B4048" t="s">
        <v>252</v>
      </c>
      <c r="C4048" t="str">
        <f>"460003200209254812"</f>
        <v>460003200209254812</v>
      </c>
      <c r="D4048" t="str">
        <f>"248030300409"</f>
        <v>248030300409</v>
      </c>
      <c r="L4048">
        <v>5284</v>
      </c>
      <c r="M4048" t="s">
        <v>252</v>
      </c>
      <c r="N4048" t="str">
        <f>"248030300409"</f>
        <v>248030300409</v>
      </c>
      <c r="O4048" t="str">
        <f>"460003200209254812"</f>
        <v>460003200209254812</v>
      </c>
    </row>
    <row r="4049" customFormat="1" spans="1:15">
      <c r="A4049">
        <v>5285</v>
      </c>
      <c r="B4049" t="s">
        <v>4529</v>
      </c>
      <c r="C4049" t="str">
        <f>"460006199701317823"</f>
        <v>460006199701317823</v>
      </c>
      <c r="D4049" t="str">
        <f>"248030502127"</f>
        <v>248030502127</v>
      </c>
      <c r="L4049">
        <v>5285</v>
      </c>
      <c r="M4049" t="s">
        <v>4529</v>
      </c>
      <c r="N4049" t="str">
        <f>"248030502127"</f>
        <v>248030502127</v>
      </c>
      <c r="O4049" t="str">
        <f>"460006199701317823"</f>
        <v>460006199701317823</v>
      </c>
    </row>
    <row r="4050" customFormat="1" spans="1:15">
      <c r="A4050">
        <v>5286</v>
      </c>
      <c r="B4050" t="s">
        <v>4530</v>
      </c>
      <c r="C4050" t="str">
        <f>"440981199606068633"</f>
        <v>440981199606068633</v>
      </c>
      <c r="D4050" t="str">
        <f>"248030201225"</f>
        <v>248030201225</v>
      </c>
      <c r="L4050">
        <v>5286</v>
      </c>
      <c r="M4050" t="s">
        <v>4530</v>
      </c>
      <c r="N4050" t="str">
        <f>"248030201225"</f>
        <v>248030201225</v>
      </c>
      <c r="O4050" t="str">
        <f>"440981199606068633"</f>
        <v>440981199606068633</v>
      </c>
    </row>
    <row r="4051" customFormat="1" spans="1:15">
      <c r="A4051">
        <v>5287</v>
      </c>
      <c r="B4051" t="s">
        <v>4531</v>
      </c>
      <c r="C4051" t="str">
        <f>"460003199507272028"</f>
        <v>460003199507272028</v>
      </c>
      <c r="D4051" t="str">
        <f>"248030403916"</f>
        <v>248030403916</v>
      </c>
      <c r="L4051">
        <v>5287</v>
      </c>
      <c r="M4051" t="s">
        <v>4531</v>
      </c>
      <c r="N4051" t="str">
        <f>"248030403916"</f>
        <v>248030403916</v>
      </c>
      <c r="O4051" t="str">
        <f>"460003199507272028"</f>
        <v>460003199507272028</v>
      </c>
    </row>
    <row r="4052" customFormat="1" spans="1:15">
      <c r="A4052">
        <v>5288</v>
      </c>
      <c r="B4052" t="s">
        <v>4532</v>
      </c>
      <c r="C4052" t="str">
        <f>"460006200205072324"</f>
        <v>460006200205072324</v>
      </c>
      <c r="D4052" t="str">
        <f>"248030100915"</f>
        <v>248030100915</v>
      </c>
      <c r="L4052">
        <v>5288</v>
      </c>
      <c r="M4052" t="s">
        <v>4532</v>
      </c>
      <c r="N4052" t="str">
        <f>"248030100915"</f>
        <v>248030100915</v>
      </c>
      <c r="O4052" t="str">
        <f>"460006200205072324"</f>
        <v>460006200205072324</v>
      </c>
    </row>
    <row r="4053" customFormat="1" spans="1:15">
      <c r="A4053">
        <v>5289</v>
      </c>
      <c r="B4053" t="s">
        <v>4533</v>
      </c>
      <c r="C4053" t="str">
        <f>"460007199710024375"</f>
        <v>460007199710024375</v>
      </c>
      <c r="D4053" t="str">
        <f>"248030101004"</f>
        <v>248030101004</v>
      </c>
      <c r="L4053">
        <v>5289</v>
      </c>
      <c r="M4053" t="s">
        <v>4533</v>
      </c>
      <c r="N4053" t="str">
        <f>"248030101004"</f>
        <v>248030101004</v>
      </c>
      <c r="O4053" t="str">
        <f>"460007199710024375"</f>
        <v>460007199710024375</v>
      </c>
    </row>
    <row r="4054" customFormat="1" spans="1:15">
      <c r="A4054">
        <v>5290</v>
      </c>
      <c r="B4054" t="s">
        <v>4534</v>
      </c>
      <c r="C4054" t="str">
        <f>"230822199305251122"</f>
        <v>230822199305251122</v>
      </c>
      <c r="L4054">
        <v>5290</v>
      </c>
      <c r="M4054" t="s">
        <v>4534</v>
      </c>
      <c r="O4054" t="str">
        <f>"230822199305251122"</f>
        <v>230822199305251122</v>
      </c>
    </row>
    <row r="4055" customFormat="1" spans="1:15">
      <c r="A4055">
        <v>5291</v>
      </c>
      <c r="B4055" t="s">
        <v>4535</v>
      </c>
      <c r="C4055" t="str">
        <f>"469003199707022726"</f>
        <v>469003199707022726</v>
      </c>
      <c r="D4055" t="str">
        <f>"248030103405"</f>
        <v>248030103405</v>
      </c>
      <c r="L4055">
        <v>5291</v>
      </c>
      <c r="M4055" t="s">
        <v>4535</v>
      </c>
      <c r="N4055" t="str">
        <f>"248030103405"</f>
        <v>248030103405</v>
      </c>
      <c r="O4055" t="str">
        <f>"469003199707022726"</f>
        <v>469003199707022726</v>
      </c>
    </row>
    <row r="4056" customFormat="1" spans="1:15">
      <c r="A4056">
        <v>5293</v>
      </c>
      <c r="B4056" t="s">
        <v>4536</v>
      </c>
      <c r="C4056" t="str">
        <f>"46003219941106762X"</f>
        <v>46003219941106762X</v>
      </c>
      <c r="D4056" t="str">
        <f>"248030200128"</f>
        <v>248030200128</v>
      </c>
      <c r="L4056">
        <v>5293</v>
      </c>
      <c r="M4056" t="s">
        <v>4536</v>
      </c>
      <c r="N4056" t="str">
        <f>"248030200128"</f>
        <v>248030200128</v>
      </c>
      <c r="O4056" t="str">
        <f>"46003219941106762X"</f>
        <v>46003219941106762X</v>
      </c>
    </row>
    <row r="4057" customFormat="1" spans="1:15">
      <c r="A4057">
        <v>5294</v>
      </c>
      <c r="B4057" t="s">
        <v>4537</v>
      </c>
      <c r="C4057" t="str">
        <f>"460006199703218722"</f>
        <v>460006199703218722</v>
      </c>
      <c r="L4057">
        <v>5294</v>
      </c>
      <c r="M4057" t="s">
        <v>4537</v>
      </c>
      <c r="O4057" t="str">
        <f>"460006199703218722"</f>
        <v>460006199703218722</v>
      </c>
    </row>
    <row r="4058" customFormat="1" spans="1:15">
      <c r="A4058">
        <v>5295</v>
      </c>
      <c r="B4058" t="s">
        <v>4538</v>
      </c>
      <c r="C4058" t="str">
        <f>"460004199101160823"</f>
        <v>460004199101160823</v>
      </c>
      <c r="D4058" t="str">
        <f>"248030100605"</f>
        <v>248030100605</v>
      </c>
      <c r="L4058">
        <v>5295</v>
      </c>
      <c r="M4058" t="s">
        <v>4538</v>
      </c>
      <c r="N4058" t="str">
        <f>"248030100605"</f>
        <v>248030100605</v>
      </c>
      <c r="O4058" t="str">
        <f>"460004199101160823"</f>
        <v>460004199101160823</v>
      </c>
    </row>
    <row r="4059" customFormat="1" spans="1:15">
      <c r="A4059">
        <v>5296</v>
      </c>
      <c r="B4059" t="s">
        <v>4539</v>
      </c>
      <c r="C4059" t="str">
        <f>"460002199906120025"</f>
        <v>460002199906120025</v>
      </c>
      <c r="L4059">
        <v>5296</v>
      </c>
      <c r="M4059" t="s">
        <v>4539</v>
      </c>
      <c r="O4059" t="str">
        <f>"460002199906120025"</f>
        <v>460002199906120025</v>
      </c>
    </row>
    <row r="4060" customFormat="1" spans="1:15">
      <c r="A4060">
        <v>5297</v>
      </c>
      <c r="B4060" t="s">
        <v>4540</v>
      </c>
      <c r="C4060" t="str">
        <f>"460033199705205377"</f>
        <v>460033199705205377</v>
      </c>
      <c r="D4060" t="str">
        <f>"248030403401"</f>
        <v>248030403401</v>
      </c>
      <c r="L4060">
        <v>5297</v>
      </c>
      <c r="M4060" t="s">
        <v>4540</v>
      </c>
      <c r="N4060" t="str">
        <f>"248030403401"</f>
        <v>248030403401</v>
      </c>
      <c r="O4060" t="str">
        <f>"460033199705205377"</f>
        <v>460033199705205377</v>
      </c>
    </row>
    <row r="4061" customFormat="1" spans="1:15">
      <c r="A4061">
        <v>5298</v>
      </c>
      <c r="B4061" t="s">
        <v>4541</v>
      </c>
      <c r="C4061" t="str">
        <f>"460033199912224829"</f>
        <v>460033199912224829</v>
      </c>
      <c r="D4061" t="str">
        <f>"248030403702"</f>
        <v>248030403702</v>
      </c>
      <c r="L4061">
        <v>5298</v>
      </c>
      <c r="M4061" t="s">
        <v>4541</v>
      </c>
      <c r="N4061" t="str">
        <f>"248030403702"</f>
        <v>248030403702</v>
      </c>
      <c r="O4061" t="str">
        <f>"460033199912224829"</f>
        <v>460033199912224829</v>
      </c>
    </row>
    <row r="4062" customFormat="1" spans="1:15">
      <c r="A4062">
        <v>5299</v>
      </c>
      <c r="B4062" t="s">
        <v>4542</v>
      </c>
      <c r="C4062" t="str">
        <f>"460004200010263216"</f>
        <v>460004200010263216</v>
      </c>
      <c r="D4062" t="str">
        <f>"248030400129"</f>
        <v>248030400129</v>
      </c>
      <c r="L4062">
        <v>5299</v>
      </c>
      <c r="M4062" t="s">
        <v>4542</v>
      </c>
      <c r="N4062" t="str">
        <f>"248030400129"</f>
        <v>248030400129</v>
      </c>
      <c r="O4062" t="str">
        <f>"460004200010263216"</f>
        <v>460004200010263216</v>
      </c>
    </row>
    <row r="4063" customFormat="1" spans="1:15">
      <c r="A4063">
        <v>5300</v>
      </c>
      <c r="B4063" t="s">
        <v>4543</v>
      </c>
      <c r="C4063" t="str">
        <f>"469023200012140428"</f>
        <v>469023200012140428</v>
      </c>
      <c r="L4063">
        <v>5300</v>
      </c>
      <c r="M4063" t="s">
        <v>4543</v>
      </c>
      <c r="O4063" t="str">
        <f>"469023200012140428"</f>
        <v>469023200012140428</v>
      </c>
    </row>
    <row r="4064" customFormat="1" spans="1:15">
      <c r="A4064">
        <v>5301</v>
      </c>
      <c r="B4064" t="s">
        <v>4544</v>
      </c>
      <c r="C4064" t="str">
        <f>"460004200210180247"</f>
        <v>460004200210180247</v>
      </c>
      <c r="D4064" t="str">
        <f>"248030402615"</f>
        <v>248030402615</v>
      </c>
      <c r="L4064">
        <v>5301</v>
      </c>
      <c r="M4064" t="s">
        <v>4544</v>
      </c>
      <c r="N4064" t="str">
        <f>"248030402615"</f>
        <v>248030402615</v>
      </c>
      <c r="O4064" t="str">
        <f>"460004200210180247"</f>
        <v>460004200210180247</v>
      </c>
    </row>
    <row r="4065" customFormat="1" spans="1:15">
      <c r="A4065">
        <v>5303</v>
      </c>
      <c r="B4065" t="s">
        <v>4545</v>
      </c>
      <c r="C4065" t="str">
        <f>"460028198902063229"</f>
        <v>460028198902063229</v>
      </c>
      <c r="D4065" t="str">
        <f>"248030100313"</f>
        <v>248030100313</v>
      </c>
      <c r="L4065">
        <v>5303</v>
      </c>
      <c r="M4065" t="s">
        <v>4545</v>
      </c>
      <c r="N4065" t="str">
        <f>"248030100313"</f>
        <v>248030100313</v>
      </c>
      <c r="O4065" t="str">
        <f>"460028198902063229"</f>
        <v>460028198902063229</v>
      </c>
    </row>
    <row r="4066" customFormat="1" spans="1:15">
      <c r="A4066">
        <v>5305</v>
      </c>
      <c r="B4066" t="s">
        <v>4546</v>
      </c>
      <c r="C4066" t="str">
        <f>"533521199801270323"</f>
        <v>533521199801270323</v>
      </c>
      <c r="L4066">
        <v>5305</v>
      </c>
      <c r="M4066" t="s">
        <v>4546</v>
      </c>
      <c r="O4066" t="str">
        <f>"533521199801270323"</f>
        <v>533521199801270323</v>
      </c>
    </row>
    <row r="4067" customFormat="1" spans="1:15">
      <c r="A4067">
        <v>5307</v>
      </c>
      <c r="B4067" t="s">
        <v>4547</v>
      </c>
      <c r="C4067" t="str">
        <f>"460032199601024364"</f>
        <v>460032199601024364</v>
      </c>
      <c r="D4067" t="str">
        <f>"248030102117"</f>
        <v>248030102117</v>
      </c>
      <c r="L4067">
        <v>5307</v>
      </c>
      <c r="M4067" t="s">
        <v>4547</v>
      </c>
      <c r="N4067" t="str">
        <f>"248030102117"</f>
        <v>248030102117</v>
      </c>
      <c r="O4067" t="str">
        <f>"460032199601024364"</f>
        <v>460032199601024364</v>
      </c>
    </row>
    <row r="4068" customFormat="1" spans="1:15">
      <c r="A4068">
        <v>5308</v>
      </c>
      <c r="B4068" t="s">
        <v>3925</v>
      </c>
      <c r="C4068" t="str">
        <f>"460028199511120841"</f>
        <v>460028199511120841</v>
      </c>
      <c r="D4068" t="str">
        <f>"248030202708"</f>
        <v>248030202708</v>
      </c>
      <c r="L4068">
        <v>5308</v>
      </c>
      <c r="M4068" t="s">
        <v>3925</v>
      </c>
      <c r="N4068" t="str">
        <f>"248030202708"</f>
        <v>248030202708</v>
      </c>
      <c r="O4068" t="str">
        <f>"460028199511120841"</f>
        <v>460028199511120841</v>
      </c>
    </row>
    <row r="4069" customFormat="1" spans="1:15">
      <c r="A4069">
        <v>5310</v>
      </c>
      <c r="B4069" t="s">
        <v>4548</v>
      </c>
      <c r="C4069" t="str">
        <f>"460006198711155640"</f>
        <v>460006198711155640</v>
      </c>
      <c r="D4069" t="str">
        <f>"248030104224"</f>
        <v>248030104224</v>
      </c>
      <c r="L4069">
        <v>5310</v>
      </c>
      <c r="M4069" t="s">
        <v>4548</v>
      </c>
      <c r="N4069" t="str">
        <f>"248030104224"</f>
        <v>248030104224</v>
      </c>
      <c r="O4069" t="str">
        <f>"460006198711155640"</f>
        <v>460006198711155640</v>
      </c>
    </row>
    <row r="4070" customFormat="1" spans="1:15">
      <c r="A4070">
        <v>5311</v>
      </c>
      <c r="B4070" t="s">
        <v>4549</v>
      </c>
      <c r="C4070" t="str">
        <f>"460034198904151828"</f>
        <v>460034198904151828</v>
      </c>
      <c r="D4070" t="str">
        <f>"248030300125"</f>
        <v>248030300125</v>
      </c>
      <c r="L4070">
        <v>5311</v>
      </c>
      <c r="M4070" t="s">
        <v>4549</v>
      </c>
      <c r="N4070" t="str">
        <f>"248030300125"</f>
        <v>248030300125</v>
      </c>
      <c r="O4070" t="str">
        <f>"460034198904151828"</f>
        <v>460034198904151828</v>
      </c>
    </row>
    <row r="4071" customFormat="1" spans="1:15">
      <c r="A4071">
        <v>5312</v>
      </c>
      <c r="B4071" t="s">
        <v>4550</v>
      </c>
      <c r="C4071" t="str">
        <f>"46000419980624404X"</f>
        <v>46000419980624404X</v>
      </c>
      <c r="D4071" t="str">
        <f>"248030503211"</f>
        <v>248030503211</v>
      </c>
      <c r="L4071">
        <v>5312</v>
      </c>
      <c r="M4071" t="s">
        <v>4550</v>
      </c>
      <c r="N4071" t="str">
        <f>"248030503211"</f>
        <v>248030503211</v>
      </c>
      <c r="O4071" t="str">
        <f>"46000419980624404X"</f>
        <v>46000419980624404X</v>
      </c>
    </row>
    <row r="4072" customFormat="1" spans="1:15">
      <c r="A4072">
        <v>5313</v>
      </c>
      <c r="B4072" t="s">
        <v>4551</v>
      </c>
      <c r="C4072" t="str">
        <f>"46902319961109371X"</f>
        <v>46902319961109371X</v>
      </c>
      <c r="D4072" t="str">
        <f>"248030300117"</f>
        <v>248030300117</v>
      </c>
      <c r="L4072">
        <v>5313</v>
      </c>
      <c r="M4072" t="s">
        <v>4551</v>
      </c>
      <c r="N4072" t="str">
        <f>"248030300117"</f>
        <v>248030300117</v>
      </c>
      <c r="O4072" t="str">
        <f>"46902319961109371X"</f>
        <v>46902319961109371X</v>
      </c>
    </row>
    <row r="4073" customFormat="1" spans="1:15">
      <c r="A4073">
        <v>5315</v>
      </c>
      <c r="B4073" t="s">
        <v>4552</v>
      </c>
      <c r="C4073" t="str">
        <f>"460026199202015148"</f>
        <v>460026199202015148</v>
      </c>
      <c r="D4073" t="str">
        <f>"248030103026"</f>
        <v>248030103026</v>
      </c>
      <c r="L4073">
        <v>5315</v>
      </c>
      <c r="M4073" t="s">
        <v>4552</v>
      </c>
      <c r="N4073" t="str">
        <f>"248030103026"</f>
        <v>248030103026</v>
      </c>
      <c r="O4073" t="str">
        <f>"460026199202015148"</f>
        <v>460026199202015148</v>
      </c>
    </row>
    <row r="4074" customFormat="1" spans="1:15">
      <c r="A4074">
        <v>5316</v>
      </c>
      <c r="B4074" t="s">
        <v>4553</v>
      </c>
      <c r="C4074" t="str">
        <f>"46002720000515292X"</f>
        <v>46002720000515292X</v>
      </c>
      <c r="D4074" t="str">
        <f>"248030202320"</f>
        <v>248030202320</v>
      </c>
      <c r="L4074">
        <v>5316</v>
      </c>
      <c r="M4074" t="s">
        <v>4553</v>
      </c>
      <c r="N4074" t="str">
        <f>"248030202320"</f>
        <v>248030202320</v>
      </c>
      <c r="O4074" t="str">
        <f>"46002720000515292X"</f>
        <v>46002720000515292X</v>
      </c>
    </row>
    <row r="4075" customFormat="1" spans="1:15">
      <c r="A4075">
        <v>5317</v>
      </c>
      <c r="B4075" t="s">
        <v>4554</v>
      </c>
      <c r="C4075" t="str">
        <f>"460006199501182725"</f>
        <v>460006199501182725</v>
      </c>
      <c r="D4075" t="str">
        <f>"248030502206"</f>
        <v>248030502206</v>
      </c>
      <c r="L4075">
        <v>5317</v>
      </c>
      <c r="M4075" t="s">
        <v>4554</v>
      </c>
      <c r="N4075" t="str">
        <f>"248030502206"</f>
        <v>248030502206</v>
      </c>
      <c r="O4075" t="str">
        <f>"460006199501182725"</f>
        <v>460006199501182725</v>
      </c>
    </row>
    <row r="4076" customFormat="1" spans="1:15">
      <c r="A4076">
        <v>5319</v>
      </c>
      <c r="B4076" t="s">
        <v>811</v>
      </c>
      <c r="C4076" t="str">
        <f>"460102200205222425"</f>
        <v>460102200205222425</v>
      </c>
      <c r="D4076" t="str">
        <f>"248030400403"</f>
        <v>248030400403</v>
      </c>
      <c r="L4076">
        <v>5319</v>
      </c>
      <c r="M4076" t="s">
        <v>811</v>
      </c>
      <c r="N4076" t="str">
        <f>"248030400403"</f>
        <v>248030400403</v>
      </c>
      <c r="O4076" t="str">
        <f>"460102200205222425"</f>
        <v>460102200205222425</v>
      </c>
    </row>
    <row r="4077" customFormat="1" spans="1:15">
      <c r="A4077">
        <v>5320</v>
      </c>
      <c r="B4077" t="s">
        <v>4555</v>
      </c>
      <c r="C4077" t="str">
        <f>"460028199110010908"</f>
        <v>460028199110010908</v>
      </c>
      <c r="D4077" t="str">
        <f>"248030400118"</f>
        <v>248030400118</v>
      </c>
      <c r="L4077">
        <v>5320</v>
      </c>
      <c r="M4077" t="s">
        <v>4555</v>
      </c>
      <c r="N4077" t="str">
        <f>"248030400118"</f>
        <v>248030400118</v>
      </c>
      <c r="O4077" t="str">
        <f>"460028199110010908"</f>
        <v>460028199110010908</v>
      </c>
    </row>
    <row r="4078" customFormat="1" spans="1:15">
      <c r="A4078">
        <v>5321</v>
      </c>
      <c r="B4078" t="s">
        <v>784</v>
      </c>
      <c r="C4078" t="str">
        <f>"341003199509180024"</f>
        <v>341003199509180024</v>
      </c>
      <c r="D4078" t="str">
        <f>"248030503325"</f>
        <v>248030503325</v>
      </c>
      <c r="L4078">
        <v>5321</v>
      </c>
      <c r="M4078" t="s">
        <v>784</v>
      </c>
      <c r="N4078" t="str">
        <f>"248030503325"</f>
        <v>248030503325</v>
      </c>
      <c r="O4078" t="str">
        <f>"341003199509180024"</f>
        <v>341003199509180024</v>
      </c>
    </row>
    <row r="4079" customFormat="1" spans="1:15">
      <c r="A4079">
        <v>5322</v>
      </c>
      <c r="B4079" t="s">
        <v>4556</v>
      </c>
      <c r="C4079" t="str">
        <f>"37010519850121112X"</f>
        <v>37010519850121112X</v>
      </c>
      <c r="D4079" t="str">
        <f>"248030200418"</f>
        <v>248030200418</v>
      </c>
      <c r="L4079">
        <v>5322</v>
      </c>
      <c r="M4079" t="s">
        <v>4556</v>
      </c>
      <c r="N4079" t="str">
        <f>"248030200418"</f>
        <v>248030200418</v>
      </c>
      <c r="O4079" t="str">
        <f>"37010519850121112X"</f>
        <v>37010519850121112X</v>
      </c>
    </row>
    <row r="4080" customFormat="1" spans="1:15">
      <c r="A4080">
        <v>5323</v>
      </c>
      <c r="B4080" t="s">
        <v>4557</v>
      </c>
      <c r="C4080" t="str">
        <f>"460006199302190028"</f>
        <v>460006199302190028</v>
      </c>
      <c r="D4080" t="str">
        <f>"248030404108"</f>
        <v>248030404108</v>
      </c>
      <c r="L4080">
        <v>5323</v>
      </c>
      <c r="M4080" t="s">
        <v>4557</v>
      </c>
      <c r="N4080" t="str">
        <f>"248030404108"</f>
        <v>248030404108</v>
      </c>
      <c r="O4080" t="str">
        <f>"460006199302190028"</f>
        <v>460006199302190028</v>
      </c>
    </row>
    <row r="4081" customFormat="1" spans="1:15">
      <c r="A4081">
        <v>5325</v>
      </c>
      <c r="B4081" t="s">
        <v>4558</v>
      </c>
      <c r="C4081" t="str">
        <f>"460028199812050429"</f>
        <v>460028199812050429</v>
      </c>
      <c r="D4081" t="str">
        <f>"248030101306"</f>
        <v>248030101306</v>
      </c>
      <c r="L4081">
        <v>5325</v>
      </c>
      <c r="M4081" t="s">
        <v>4558</v>
      </c>
      <c r="N4081" t="str">
        <f>"248030101306"</f>
        <v>248030101306</v>
      </c>
      <c r="O4081" t="str">
        <f>"460028199812050429"</f>
        <v>460028199812050429</v>
      </c>
    </row>
    <row r="4082" customFormat="1" spans="1:15">
      <c r="A4082">
        <v>5326</v>
      </c>
      <c r="B4082" t="s">
        <v>4559</v>
      </c>
      <c r="C4082" t="str">
        <f>"411729200108196346"</f>
        <v>411729200108196346</v>
      </c>
      <c r="D4082" t="str">
        <f>"248030502329"</f>
        <v>248030502329</v>
      </c>
      <c r="L4082">
        <v>5326</v>
      </c>
      <c r="M4082" t="s">
        <v>4559</v>
      </c>
      <c r="N4082" t="str">
        <f>"248030502329"</f>
        <v>248030502329</v>
      </c>
      <c r="O4082" t="str">
        <f>"411729200108196346"</f>
        <v>411729200108196346</v>
      </c>
    </row>
    <row r="4083" customFormat="1" spans="1:15">
      <c r="A4083">
        <v>5327</v>
      </c>
      <c r="B4083" t="s">
        <v>4560</v>
      </c>
      <c r="C4083" t="str">
        <f>"460003199505167013"</f>
        <v>460003199505167013</v>
      </c>
      <c r="L4083">
        <v>5327</v>
      </c>
      <c r="M4083" t="s">
        <v>4560</v>
      </c>
      <c r="O4083" t="str">
        <f>"460003199505167013"</f>
        <v>460003199505167013</v>
      </c>
    </row>
    <row r="4084" customFormat="1" spans="1:15">
      <c r="A4084">
        <v>5328</v>
      </c>
      <c r="B4084" t="s">
        <v>767</v>
      </c>
      <c r="C4084" t="str">
        <f>"370302200204122122"</f>
        <v>370302200204122122</v>
      </c>
      <c r="D4084" t="str">
        <f>"248030302315"</f>
        <v>248030302315</v>
      </c>
      <c r="L4084">
        <v>5328</v>
      </c>
      <c r="M4084" t="s">
        <v>767</v>
      </c>
      <c r="N4084" t="str">
        <f>"248030302315"</f>
        <v>248030302315</v>
      </c>
      <c r="O4084" t="str">
        <f>"370302200204122122"</f>
        <v>370302200204122122</v>
      </c>
    </row>
    <row r="4085" customFormat="1" spans="1:15">
      <c r="A4085">
        <v>5329</v>
      </c>
      <c r="B4085" t="s">
        <v>4561</v>
      </c>
      <c r="C4085" t="str">
        <f>"460006200010020217"</f>
        <v>460006200010020217</v>
      </c>
      <c r="D4085" t="str">
        <f>"248030400425"</f>
        <v>248030400425</v>
      </c>
      <c r="L4085">
        <v>5329</v>
      </c>
      <c r="M4085" t="s">
        <v>4561</v>
      </c>
      <c r="N4085" t="str">
        <f>"248030400425"</f>
        <v>248030400425</v>
      </c>
      <c r="O4085" t="str">
        <f>"460006200010020217"</f>
        <v>460006200010020217</v>
      </c>
    </row>
    <row r="4086" customFormat="1" spans="1:15">
      <c r="A4086">
        <v>5330</v>
      </c>
      <c r="B4086" t="s">
        <v>4562</v>
      </c>
      <c r="C4086" t="str">
        <f>"46010220020614123X"</f>
        <v>46010220020614123X</v>
      </c>
      <c r="D4086" t="str">
        <f>"248030302307"</f>
        <v>248030302307</v>
      </c>
      <c r="L4086">
        <v>5330</v>
      </c>
      <c r="M4086" t="s">
        <v>4562</v>
      </c>
      <c r="N4086" t="str">
        <f>"248030302307"</f>
        <v>248030302307</v>
      </c>
      <c r="O4086" t="str">
        <f>"46010220020614123X"</f>
        <v>46010220020614123X</v>
      </c>
    </row>
    <row r="4087" customFormat="1" spans="1:15">
      <c r="A4087">
        <v>5333</v>
      </c>
      <c r="B4087" t="s">
        <v>4563</v>
      </c>
      <c r="C4087" t="str">
        <f>"460102200109291842"</f>
        <v>460102200109291842</v>
      </c>
      <c r="D4087" t="str">
        <f>"248030502501"</f>
        <v>248030502501</v>
      </c>
      <c r="L4087">
        <v>5333</v>
      </c>
      <c r="M4087" t="s">
        <v>4563</v>
      </c>
      <c r="N4087" t="str">
        <f>"248030502501"</f>
        <v>248030502501</v>
      </c>
      <c r="O4087" t="str">
        <f>"460102200109291842"</f>
        <v>460102200109291842</v>
      </c>
    </row>
    <row r="4088" customFormat="1" spans="1:15">
      <c r="A4088">
        <v>5334</v>
      </c>
      <c r="B4088" t="s">
        <v>4564</v>
      </c>
      <c r="C4088" t="str">
        <f>"460030200104216923"</f>
        <v>460030200104216923</v>
      </c>
      <c r="D4088" t="str">
        <f>"248030404009"</f>
        <v>248030404009</v>
      </c>
      <c r="L4088">
        <v>5334</v>
      </c>
      <c r="M4088" t="s">
        <v>4564</v>
      </c>
      <c r="N4088" t="str">
        <f>"248030404009"</f>
        <v>248030404009</v>
      </c>
      <c r="O4088" t="str">
        <f>"460030200104216923"</f>
        <v>460030200104216923</v>
      </c>
    </row>
    <row r="4089" customFormat="1" spans="1:15">
      <c r="A4089">
        <v>5335</v>
      </c>
      <c r="B4089" t="s">
        <v>4565</v>
      </c>
      <c r="C4089" t="str">
        <f>"469005200103185629"</f>
        <v>469005200103185629</v>
      </c>
      <c r="D4089" t="str">
        <f>"248030200909"</f>
        <v>248030200909</v>
      </c>
      <c r="L4089">
        <v>5335</v>
      </c>
      <c r="M4089" t="s">
        <v>4565</v>
      </c>
      <c r="N4089" t="str">
        <f>"248030200909"</f>
        <v>248030200909</v>
      </c>
      <c r="O4089" t="str">
        <f>"469005200103185629"</f>
        <v>469005200103185629</v>
      </c>
    </row>
    <row r="4090" customFormat="1" spans="1:15">
      <c r="A4090">
        <v>5336</v>
      </c>
      <c r="B4090" t="s">
        <v>4566</v>
      </c>
      <c r="C4090" t="str">
        <f>"460006200106190229"</f>
        <v>460006200106190229</v>
      </c>
      <c r="D4090" t="str">
        <f>"248030503718"</f>
        <v>248030503718</v>
      </c>
      <c r="L4090">
        <v>5336</v>
      </c>
      <c r="M4090" t="s">
        <v>4566</v>
      </c>
      <c r="N4090" t="str">
        <f>"248030503718"</f>
        <v>248030503718</v>
      </c>
      <c r="O4090" t="str">
        <f>"460006200106190229"</f>
        <v>460006200106190229</v>
      </c>
    </row>
    <row r="4091" customFormat="1" spans="1:15">
      <c r="A4091">
        <v>5337</v>
      </c>
      <c r="B4091" t="s">
        <v>1085</v>
      </c>
      <c r="C4091" t="str">
        <f>"460104199509101320"</f>
        <v>460104199509101320</v>
      </c>
      <c r="L4091">
        <v>5337</v>
      </c>
      <c r="M4091" t="s">
        <v>1085</v>
      </c>
      <c r="O4091" t="str">
        <f>"460104199509101320"</f>
        <v>460104199509101320</v>
      </c>
    </row>
    <row r="4092" customFormat="1" spans="1:15">
      <c r="A4092">
        <v>5338</v>
      </c>
      <c r="B4092" t="s">
        <v>4567</v>
      </c>
      <c r="C4092" t="str">
        <f>"460007199512284387"</f>
        <v>460007199512284387</v>
      </c>
      <c r="L4092">
        <v>5338</v>
      </c>
      <c r="M4092" t="s">
        <v>4567</v>
      </c>
      <c r="O4092" t="str">
        <f>"460007199512284387"</f>
        <v>460007199512284387</v>
      </c>
    </row>
    <row r="4093" customFormat="1" spans="1:15">
      <c r="A4093">
        <v>5339</v>
      </c>
      <c r="B4093" t="s">
        <v>1712</v>
      </c>
      <c r="C4093" t="str">
        <f>"460027199605221727"</f>
        <v>460027199605221727</v>
      </c>
      <c r="L4093">
        <v>5339</v>
      </c>
      <c r="M4093" t="s">
        <v>1712</v>
      </c>
      <c r="O4093" t="str">
        <f>"460027199605221727"</f>
        <v>460027199605221727</v>
      </c>
    </row>
    <row r="4094" customFormat="1" spans="1:15">
      <c r="A4094">
        <v>5340</v>
      </c>
      <c r="B4094" t="s">
        <v>4568</v>
      </c>
      <c r="C4094" t="str">
        <f>"460105200201277161"</f>
        <v>460105200201277161</v>
      </c>
      <c r="D4094" t="str">
        <f>"248030201209"</f>
        <v>248030201209</v>
      </c>
      <c r="L4094">
        <v>5340</v>
      </c>
      <c r="M4094" t="s">
        <v>4568</v>
      </c>
      <c r="N4094" t="str">
        <f>"248030201209"</f>
        <v>248030201209</v>
      </c>
      <c r="O4094" t="str">
        <f>"460105200201277161"</f>
        <v>460105200201277161</v>
      </c>
    </row>
    <row r="4095" customFormat="1" spans="1:15">
      <c r="A4095">
        <v>5341</v>
      </c>
      <c r="B4095" t="s">
        <v>4569</v>
      </c>
      <c r="C4095" t="str">
        <f>"460028199207080902"</f>
        <v>460028199207080902</v>
      </c>
      <c r="D4095" t="str">
        <f>"248030501925"</f>
        <v>248030501925</v>
      </c>
      <c r="L4095">
        <v>5341</v>
      </c>
      <c r="M4095" t="s">
        <v>4569</v>
      </c>
      <c r="N4095" t="str">
        <f>"248030501925"</f>
        <v>248030501925</v>
      </c>
      <c r="O4095" t="str">
        <f>"460028199207080902"</f>
        <v>460028199207080902</v>
      </c>
    </row>
    <row r="4096" customFormat="1" spans="1:15">
      <c r="A4096">
        <v>5342</v>
      </c>
      <c r="B4096" t="s">
        <v>4570</v>
      </c>
      <c r="C4096" t="str">
        <f>"370181199205171726"</f>
        <v>370181199205171726</v>
      </c>
      <c r="L4096">
        <v>5342</v>
      </c>
      <c r="M4096" t="s">
        <v>4570</v>
      </c>
      <c r="O4096" t="str">
        <f>"370181199205171726"</f>
        <v>370181199205171726</v>
      </c>
    </row>
    <row r="4097" customFormat="1" spans="1:15">
      <c r="A4097">
        <v>5343</v>
      </c>
      <c r="B4097" t="s">
        <v>4571</v>
      </c>
      <c r="C4097" t="str">
        <f>"460027199810207916"</f>
        <v>460027199810207916</v>
      </c>
      <c r="D4097" t="str">
        <f>"248030202401"</f>
        <v>248030202401</v>
      </c>
      <c r="L4097">
        <v>5343</v>
      </c>
      <c r="M4097" t="s">
        <v>4571</v>
      </c>
      <c r="N4097" t="str">
        <f>"248030202401"</f>
        <v>248030202401</v>
      </c>
      <c r="O4097" t="str">
        <f>"460027199810207916"</f>
        <v>460027199810207916</v>
      </c>
    </row>
    <row r="4098" customFormat="1" spans="1:15">
      <c r="A4098">
        <v>5346</v>
      </c>
      <c r="B4098" t="s">
        <v>4572</v>
      </c>
      <c r="C4098" t="str">
        <f>"460004199609130027"</f>
        <v>460004199609130027</v>
      </c>
      <c r="D4098" t="str">
        <f>"248030102115"</f>
        <v>248030102115</v>
      </c>
      <c r="L4098">
        <v>5346</v>
      </c>
      <c r="M4098" t="s">
        <v>4572</v>
      </c>
      <c r="N4098" t="str">
        <f>"248030102115"</f>
        <v>248030102115</v>
      </c>
      <c r="O4098" t="str">
        <f>"460004199609130027"</f>
        <v>460004199609130027</v>
      </c>
    </row>
    <row r="4099" customFormat="1" spans="1:15">
      <c r="A4099">
        <v>5347</v>
      </c>
      <c r="B4099" t="s">
        <v>4573</v>
      </c>
      <c r="C4099" t="str">
        <f>"220182200211222728"</f>
        <v>220182200211222728</v>
      </c>
      <c r="D4099" t="str">
        <f>"248030300801"</f>
        <v>248030300801</v>
      </c>
      <c r="L4099">
        <v>5347</v>
      </c>
      <c r="M4099" t="s">
        <v>4573</v>
      </c>
      <c r="N4099" t="str">
        <f>"248030300801"</f>
        <v>248030300801</v>
      </c>
      <c r="O4099" t="str">
        <f>"220182200211222728"</f>
        <v>220182200211222728</v>
      </c>
    </row>
    <row r="4100" customFormat="1" spans="1:15">
      <c r="A4100">
        <v>5348</v>
      </c>
      <c r="B4100" t="s">
        <v>4574</v>
      </c>
      <c r="C4100" t="str">
        <f>"460200200111145126"</f>
        <v>460200200111145126</v>
      </c>
      <c r="L4100">
        <v>5348</v>
      </c>
      <c r="M4100" t="s">
        <v>4574</v>
      </c>
      <c r="O4100" t="str">
        <f>"460200200111145126"</f>
        <v>460200200111145126</v>
      </c>
    </row>
    <row r="4101" customFormat="1" spans="1:15">
      <c r="A4101">
        <v>5349</v>
      </c>
      <c r="B4101" t="s">
        <v>4575</v>
      </c>
      <c r="C4101" t="str">
        <f>"230405200005040427"</f>
        <v>230405200005040427</v>
      </c>
      <c r="L4101">
        <v>5349</v>
      </c>
      <c r="M4101" t="s">
        <v>4575</v>
      </c>
      <c r="O4101" t="str">
        <f>"230405200005040427"</f>
        <v>230405200005040427</v>
      </c>
    </row>
    <row r="4102" customFormat="1" spans="1:15">
      <c r="A4102">
        <v>5350</v>
      </c>
      <c r="B4102" t="s">
        <v>4576</v>
      </c>
      <c r="C4102" t="str">
        <f>"460003199602020611"</f>
        <v>460003199602020611</v>
      </c>
      <c r="D4102" t="str">
        <f>"248030201224"</f>
        <v>248030201224</v>
      </c>
      <c r="L4102">
        <v>5350</v>
      </c>
      <c r="M4102" t="s">
        <v>4576</v>
      </c>
      <c r="N4102" t="str">
        <f>"248030201224"</f>
        <v>248030201224</v>
      </c>
      <c r="O4102" t="str">
        <f>"460003199602020611"</f>
        <v>460003199602020611</v>
      </c>
    </row>
    <row r="4103" customFormat="1" spans="1:15">
      <c r="A4103">
        <v>5351</v>
      </c>
      <c r="B4103" t="s">
        <v>4577</v>
      </c>
      <c r="C4103" t="str">
        <f>"460004200010291241"</f>
        <v>460004200010291241</v>
      </c>
      <c r="D4103" t="str">
        <f>"248030500713"</f>
        <v>248030500713</v>
      </c>
      <c r="L4103">
        <v>5351</v>
      </c>
      <c r="M4103" t="s">
        <v>4577</v>
      </c>
      <c r="N4103" t="str">
        <f>"248030500713"</f>
        <v>248030500713</v>
      </c>
      <c r="O4103" t="str">
        <f>"460004200010291241"</f>
        <v>460004200010291241</v>
      </c>
    </row>
    <row r="4104" customFormat="1" spans="1:15">
      <c r="A4104">
        <v>5352</v>
      </c>
      <c r="B4104" t="s">
        <v>4578</v>
      </c>
      <c r="C4104" t="str">
        <f>"460106200009193829"</f>
        <v>460106200009193829</v>
      </c>
      <c r="D4104" t="str">
        <f>"248030102919"</f>
        <v>248030102919</v>
      </c>
      <c r="L4104">
        <v>5352</v>
      </c>
      <c r="M4104" t="s">
        <v>4578</v>
      </c>
      <c r="N4104" t="str">
        <f>"248030102919"</f>
        <v>248030102919</v>
      </c>
      <c r="O4104" t="str">
        <f>"460106200009193829"</f>
        <v>460106200009193829</v>
      </c>
    </row>
    <row r="4105" customFormat="1" spans="1:15">
      <c r="A4105">
        <v>5354</v>
      </c>
      <c r="B4105" t="s">
        <v>4579</v>
      </c>
      <c r="C4105" t="str">
        <f>"460025199708310340"</f>
        <v>460025199708310340</v>
      </c>
      <c r="D4105" t="str">
        <f>"248030504229"</f>
        <v>248030504229</v>
      </c>
      <c r="L4105">
        <v>5354</v>
      </c>
      <c r="M4105" t="s">
        <v>4579</v>
      </c>
      <c r="N4105" t="str">
        <f>"248030504229"</f>
        <v>248030504229</v>
      </c>
      <c r="O4105" t="str">
        <f>"460025199708310340"</f>
        <v>460025199708310340</v>
      </c>
    </row>
    <row r="4106" customFormat="1" spans="1:15">
      <c r="A4106">
        <v>5355</v>
      </c>
      <c r="B4106" t="s">
        <v>4580</v>
      </c>
      <c r="C4106" t="str">
        <f>"460104199703270320"</f>
        <v>460104199703270320</v>
      </c>
      <c r="D4106" t="str">
        <f>"248030300313"</f>
        <v>248030300313</v>
      </c>
      <c r="L4106">
        <v>5355</v>
      </c>
      <c r="M4106" t="s">
        <v>4580</v>
      </c>
      <c r="N4106" t="str">
        <f>"248030300313"</f>
        <v>248030300313</v>
      </c>
      <c r="O4106" t="str">
        <f>"460104199703270320"</f>
        <v>460104199703270320</v>
      </c>
    </row>
    <row r="4107" customFormat="1" spans="1:15">
      <c r="A4107">
        <v>5357</v>
      </c>
      <c r="B4107" t="s">
        <v>4581</v>
      </c>
      <c r="C4107" t="str">
        <f>"460103199809293612"</f>
        <v>460103199809293612</v>
      </c>
      <c r="D4107" t="str">
        <f>"248030302018"</f>
        <v>248030302018</v>
      </c>
      <c r="L4107">
        <v>5357</v>
      </c>
      <c r="M4107" t="s">
        <v>4581</v>
      </c>
      <c r="N4107" t="str">
        <f>"248030302018"</f>
        <v>248030302018</v>
      </c>
      <c r="O4107" t="str">
        <f>"460103199809293612"</f>
        <v>460103199809293612</v>
      </c>
    </row>
    <row r="4108" customFormat="1" spans="1:15">
      <c r="A4108">
        <v>5358</v>
      </c>
      <c r="B4108" t="s">
        <v>4582</v>
      </c>
      <c r="C4108" t="str">
        <f>"460027199906294428"</f>
        <v>460027199906294428</v>
      </c>
      <c r="D4108" t="str">
        <f>"248030501527"</f>
        <v>248030501527</v>
      </c>
      <c r="L4108">
        <v>5358</v>
      </c>
      <c r="M4108" t="s">
        <v>4582</v>
      </c>
      <c r="N4108" t="str">
        <f>"248030501527"</f>
        <v>248030501527</v>
      </c>
      <c r="O4108" t="str">
        <f>"460027199906294428"</f>
        <v>460027199906294428</v>
      </c>
    </row>
    <row r="4109" customFormat="1" spans="1:15">
      <c r="A4109">
        <v>5359</v>
      </c>
      <c r="B4109" t="s">
        <v>4583</v>
      </c>
      <c r="C4109" t="str">
        <f>"460026199509030924"</f>
        <v>460026199509030924</v>
      </c>
      <c r="L4109">
        <v>5359</v>
      </c>
      <c r="M4109" t="s">
        <v>4583</v>
      </c>
      <c r="O4109" t="str">
        <f>"460026199509030924"</f>
        <v>460026199509030924</v>
      </c>
    </row>
    <row r="4110" customFormat="1" spans="1:15">
      <c r="A4110">
        <v>5360</v>
      </c>
      <c r="B4110" t="s">
        <v>4584</v>
      </c>
      <c r="C4110" t="str">
        <f>"460028199701210848"</f>
        <v>460028199701210848</v>
      </c>
      <c r="D4110" t="str">
        <f>"248030401921"</f>
        <v>248030401921</v>
      </c>
      <c r="L4110">
        <v>5360</v>
      </c>
      <c r="M4110" t="s">
        <v>4584</v>
      </c>
      <c r="N4110" t="str">
        <f>"248030401921"</f>
        <v>248030401921</v>
      </c>
      <c r="O4110" t="str">
        <f>"460028199701210848"</f>
        <v>460028199701210848</v>
      </c>
    </row>
    <row r="4111" customFormat="1" spans="1:15">
      <c r="A4111">
        <v>5361</v>
      </c>
      <c r="B4111" t="s">
        <v>4585</v>
      </c>
      <c r="C4111" t="str">
        <f>"460200199303074726"</f>
        <v>460200199303074726</v>
      </c>
      <c r="D4111" t="str">
        <f>"248030501905"</f>
        <v>248030501905</v>
      </c>
      <c r="L4111">
        <v>5361</v>
      </c>
      <c r="M4111" t="s">
        <v>4585</v>
      </c>
      <c r="N4111" t="str">
        <f>"248030501905"</f>
        <v>248030501905</v>
      </c>
      <c r="O4111" t="str">
        <f>"460200199303074726"</f>
        <v>460200199303074726</v>
      </c>
    </row>
    <row r="4112" customFormat="1" spans="1:15">
      <c r="A4112">
        <v>5362</v>
      </c>
      <c r="B4112" t="s">
        <v>4586</v>
      </c>
      <c r="C4112" t="str">
        <f>"46002619930420242X"</f>
        <v>46002619930420242X</v>
      </c>
      <c r="D4112" t="str">
        <f>"248030404207"</f>
        <v>248030404207</v>
      </c>
      <c r="L4112">
        <v>5362</v>
      </c>
      <c r="M4112" t="s">
        <v>4586</v>
      </c>
      <c r="N4112" t="str">
        <f>"248030404207"</f>
        <v>248030404207</v>
      </c>
      <c r="O4112" t="str">
        <f>"46002619930420242X"</f>
        <v>46002619930420242X</v>
      </c>
    </row>
    <row r="4113" customFormat="1" spans="1:15">
      <c r="A4113">
        <v>5363</v>
      </c>
      <c r="B4113" t="s">
        <v>4587</v>
      </c>
      <c r="C4113" t="str">
        <f>"460103199803310020"</f>
        <v>460103199803310020</v>
      </c>
      <c r="D4113" t="str">
        <f>"248030402107"</f>
        <v>248030402107</v>
      </c>
      <c r="L4113">
        <v>5363</v>
      </c>
      <c r="M4113" t="s">
        <v>4587</v>
      </c>
      <c r="N4113" t="str">
        <f>"248030402107"</f>
        <v>248030402107</v>
      </c>
      <c r="O4113" t="str">
        <f>"460103199803310020"</f>
        <v>460103199803310020</v>
      </c>
    </row>
    <row r="4114" customFormat="1" spans="1:15">
      <c r="A4114">
        <v>5364</v>
      </c>
      <c r="B4114" t="s">
        <v>4588</v>
      </c>
      <c r="C4114" t="str">
        <f>"372325199008290429"</f>
        <v>372325199008290429</v>
      </c>
      <c r="L4114">
        <v>5364</v>
      </c>
      <c r="M4114" t="s">
        <v>4588</v>
      </c>
      <c r="O4114" t="str">
        <f>"372325199008290429"</f>
        <v>372325199008290429</v>
      </c>
    </row>
    <row r="4115" customFormat="1" spans="1:15">
      <c r="A4115">
        <v>5366</v>
      </c>
      <c r="B4115" t="s">
        <v>4589</v>
      </c>
      <c r="C4115" t="str">
        <f>"46010819971001382X"</f>
        <v>46010819971001382X</v>
      </c>
      <c r="D4115" t="str">
        <f>"248030300301"</f>
        <v>248030300301</v>
      </c>
      <c r="L4115">
        <v>5366</v>
      </c>
      <c r="M4115" t="s">
        <v>4589</v>
      </c>
      <c r="N4115" t="str">
        <f>"248030300301"</f>
        <v>248030300301</v>
      </c>
      <c r="O4115" t="str">
        <f>"46010819971001382X"</f>
        <v>46010819971001382X</v>
      </c>
    </row>
    <row r="4116" customFormat="1" spans="1:15">
      <c r="A4116">
        <v>5368</v>
      </c>
      <c r="B4116" t="s">
        <v>4590</v>
      </c>
      <c r="C4116" t="str">
        <f>"460005199801183264"</f>
        <v>460005199801183264</v>
      </c>
      <c r="D4116" t="str">
        <f>"248030200716"</f>
        <v>248030200716</v>
      </c>
      <c r="L4116">
        <v>5368</v>
      </c>
      <c r="M4116" t="s">
        <v>4590</v>
      </c>
      <c r="N4116" t="str">
        <f>"248030200716"</f>
        <v>248030200716</v>
      </c>
      <c r="O4116" t="str">
        <f>"460005199801183264"</f>
        <v>460005199801183264</v>
      </c>
    </row>
    <row r="4117" customFormat="1" spans="1:15">
      <c r="A4117">
        <v>5369</v>
      </c>
      <c r="B4117" t="s">
        <v>4591</v>
      </c>
      <c r="C4117" t="str">
        <f>"460025199405260024"</f>
        <v>460025199405260024</v>
      </c>
      <c r="L4117">
        <v>5369</v>
      </c>
      <c r="M4117" t="s">
        <v>4591</v>
      </c>
      <c r="O4117" t="str">
        <f>"460025199405260024"</f>
        <v>460025199405260024</v>
      </c>
    </row>
    <row r="4118" customFormat="1" spans="1:15">
      <c r="A4118">
        <v>5370</v>
      </c>
      <c r="B4118" t="s">
        <v>4592</v>
      </c>
      <c r="C4118" t="str">
        <f>"612423199403011816"</f>
        <v>612423199403011816</v>
      </c>
      <c r="D4118" t="str">
        <f>"248030402212"</f>
        <v>248030402212</v>
      </c>
      <c r="L4118">
        <v>5370</v>
      </c>
      <c r="M4118" t="s">
        <v>4592</v>
      </c>
      <c r="N4118" t="str">
        <f>"248030402212"</f>
        <v>248030402212</v>
      </c>
      <c r="O4118" t="str">
        <f>"612423199403011816"</f>
        <v>612423199403011816</v>
      </c>
    </row>
    <row r="4119" customFormat="1" spans="1:15">
      <c r="A4119">
        <v>5371</v>
      </c>
      <c r="B4119" t="s">
        <v>4593</v>
      </c>
      <c r="C4119" t="str">
        <f>"220802200107275244"</f>
        <v>220802200107275244</v>
      </c>
      <c r="D4119" t="str">
        <f>"248030302304"</f>
        <v>248030302304</v>
      </c>
      <c r="L4119">
        <v>5371</v>
      </c>
      <c r="M4119" t="s">
        <v>4593</v>
      </c>
      <c r="N4119" t="str">
        <f>"248030302304"</f>
        <v>248030302304</v>
      </c>
      <c r="O4119" t="str">
        <f>"220802200107275244"</f>
        <v>220802200107275244</v>
      </c>
    </row>
    <row r="4120" customFormat="1" spans="1:15">
      <c r="A4120">
        <v>5372</v>
      </c>
      <c r="B4120" t="s">
        <v>4594</v>
      </c>
      <c r="C4120" t="str">
        <f>"46000719980220041X"</f>
        <v>46000719980220041X</v>
      </c>
      <c r="D4120" t="str">
        <f>"248030402420"</f>
        <v>248030402420</v>
      </c>
      <c r="L4120">
        <v>5372</v>
      </c>
      <c r="M4120" t="s">
        <v>4594</v>
      </c>
      <c r="N4120" t="str">
        <f>"248030402420"</f>
        <v>248030402420</v>
      </c>
      <c r="O4120" t="str">
        <f>"46000719980220041X"</f>
        <v>46000719980220041X</v>
      </c>
    </row>
    <row r="4121" customFormat="1" spans="1:15">
      <c r="A4121">
        <v>5374</v>
      </c>
      <c r="B4121" t="s">
        <v>4595</v>
      </c>
      <c r="C4121" t="str">
        <f>"610330199805192222"</f>
        <v>610330199805192222</v>
      </c>
      <c r="L4121">
        <v>5374</v>
      </c>
      <c r="M4121" t="s">
        <v>4595</v>
      </c>
      <c r="O4121" t="str">
        <f>"610330199805192222"</f>
        <v>610330199805192222</v>
      </c>
    </row>
    <row r="4122" customFormat="1" spans="1:15">
      <c r="A4122">
        <v>5375</v>
      </c>
      <c r="B4122" t="s">
        <v>4596</v>
      </c>
      <c r="C4122" t="str">
        <f>"460006200001092729"</f>
        <v>460006200001092729</v>
      </c>
      <c r="L4122">
        <v>5375</v>
      </c>
      <c r="M4122" t="s">
        <v>4596</v>
      </c>
      <c r="O4122" t="str">
        <f>"460006200001092729"</f>
        <v>460006200001092729</v>
      </c>
    </row>
    <row r="4123" customFormat="1" spans="1:15">
      <c r="A4123">
        <v>5376</v>
      </c>
      <c r="B4123" t="s">
        <v>4597</v>
      </c>
      <c r="C4123" t="str">
        <f>"460102199612160641"</f>
        <v>460102199612160641</v>
      </c>
      <c r="D4123" t="str">
        <f>"248030102708"</f>
        <v>248030102708</v>
      </c>
      <c r="L4123">
        <v>5376</v>
      </c>
      <c r="M4123" t="s">
        <v>4597</v>
      </c>
      <c r="N4123" t="str">
        <f>"248030102708"</f>
        <v>248030102708</v>
      </c>
      <c r="O4123" t="str">
        <f>"460102199612160641"</f>
        <v>460102199612160641</v>
      </c>
    </row>
    <row r="4124" customFormat="1" spans="1:15">
      <c r="A4124">
        <v>5377</v>
      </c>
      <c r="B4124" t="s">
        <v>4598</v>
      </c>
      <c r="C4124" t="str">
        <f>"460036199604010043"</f>
        <v>460036199604010043</v>
      </c>
      <c r="L4124">
        <v>5377</v>
      </c>
      <c r="M4124" t="s">
        <v>4598</v>
      </c>
      <c r="O4124" t="str">
        <f>"460036199604010043"</f>
        <v>460036199604010043</v>
      </c>
    </row>
    <row r="4125" customFormat="1" spans="1:15">
      <c r="A4125">
        <v>5378</v>
      </c>
      <c r="B4125" t="s">
        <v>4599</v>
      </c>
      <c r="C4125" t="str">
        <f>"460030199508185443"</f>
        <v>460030199508185443</v>
      </c>
      <c r="D4125" t="str">
        <f>"248030100717"</f>
        <v>248030100717</v>
      </c>
      <c r="L4125">
        <v>5378</v>
      </c>
      <c r="M4125" t="s">
        <v>4599</v>
      </c>
      <c r="N4125" t="str">
        <f>"248030100717"</f>
        <v>248030100717</v>
      </c>
      <c r="O4125" t="str">
        <f>"460030199508185443"</f>
        <v>460030199508185443</v>
      </c>
    </row>
    <row r="4126" customFormat="1" spans="1:15">
      <c r="A4126">
        <v>5379</v>
      </c>
      <c r="B4126" t="s">
        <v>4600</v>
      </c>
      <c r="C4126" t="str">
        <f>"460033199510093889"</f>
        <v>460033199510093889</v>
      </c>
      <c r="D4126" t="str">
        <f>"248030301622"</f>
        <v>248030301622</v>
      </c>
      <c r="L4126">
        <v>5379</v>
      </c>
      <c r="M4126" t="s">
        <v>4600</v>
      </c>
      <c r="N4126" t="str">
        <f>"248030301622"</f>
        <v>248030301622</v>
      </c>
      <c r="O4126" t="str">
        <f>"460033199510093889"</f>
        <v>460033199510093889</v>
      </c>
    </row>
    <row r="4127" customFormat="1" spans="1:15">
      <c r="A4127">
        <v>5380</v>
      </c>
      <c r="B4127" t="s">
        <v>1783</v>
      </c>
      <c r="C4127" t="str">
        <f>"460036199507290020"</f>
        <v>460036199507290020</v>
      </c>
      <c r="D4127" t="str">
        <f>"248030203105"</f>
        <v>248030203105</v>
      </c>
      <c r="L4127">
        <v>5380</v>
      </c>
      <c r="M4127" t="s">
        <v>1783</v>
      </c>
      <c r="N4127" t="str">
        <f>"248030203105"</f>
        <v>248030203105</v>
      </c>
      <c r="O4127" t="str">
        <f>"460036199507290020"</f>
        <v>460036199507290020</v>
      </c>
    </row>
    <row r="4128" customFormat="1" spans="1:15">
      <c r="A4128">
        <v>5381</v>
      </c>
      <c r="B4128" t="s">
        <v>4601</v>
      </c>
      <c r="C4128" t="str">
        <f>"469023199808020047"</f>
        <v>469023199808020047</v>
      </c>
      <c r="D4128" t="str">
        <f>"248030400702"</f>
        <v>248030400702</v>
      </c>
      <c r="L4128">
        <v>5381</v>
      </c>
      <c r="M4128" t="s">
        <v>4601</v>
      </c>
      <c r="N4128" t="str">
        <f>"248030400702"</f>
        <v>248030400702</v>
      </c>
      <c r="O4128" t="str">
        <f>"469023199808020047"</f>
        <v>469023199808020047</v>
      </c>
    </row>
    <row r="4129" customFormat="1" spans="1:15">
      <c r="A4129">
        <v>5382</v>
      </c>
      <c r="B4129" t="s">
        <v>4602</v>
      </c>
      <c r="C4129" t="str">
        <f>"460028199712216823"</f>
        <v>460028199712216823</v>
      </c>
      <c r="L4129">
        <v>5382</v>
      </c>
      <c r="M4129" t="s">
        <v>4602</v>
      </c>
      <c r="O4129" t="str">
        <f>"460028199712216823"</f>
        <v>460028199712216823</v>
      </c>
    </row>
    <row r="4130" customFormat="1" spans="1:15">
      <c r="A4130">
        <v>5383</v>
      </c>
      <c r="B4130" t="s">
        <v>4603</v>
      </c>
      <c r="C4130" t="str">
        <f>"411523200212070023"</f>
        <v>411523200212070023</v>
      </c>
      <c r="L4130">
        <v>5383</v>
      </c>
      <c r="M4130" t="s">
        <v>4603</v>
      </c>
      <c r="O4130" t="str">
        <f>"411523200212070023"</f>
        <v>411523200212070023</v>
      </c>
    </row>
    <row r="4131" customFormat="1" spans="1:15">
      <c r="A4131">
        <v>5385</v>
      </c>
      <c r="B4131" t="s">
        <v>4604</v>
      </c>
      <c r="C4131" t="str">
        <f>"460033199710105389"</f>
        <v>460033199710105389</v>
      </c>
      <c r="D4131" t="str">
        <f>"248030103813"</f>
        <v>248030103813</v>
      </c>
      <c r="L4131">
        <v>5385</v>
      </c>
      <c r="M4131" t="s">
        <v>4604</v>
      </c>
      <c r="N4131" t="str">
        <f>"248030103813"</f>
        <v>248030103813</v>
      </c>
      <c r="O4131" t="str">
        <f>"460033199710105389"</f>
        <v>460033199710105389</v>
      </c>
    </row>
    <row r="4132" customFormat="1" spans="1:15">
      <c r="A4132">
        <v>5386</v>
      </c>
      <c r="B4132" t="s">
        <v>4605</v>
      </c>
      <c r="C4132" t="str">
        <f>"460007199903174388"</f>
        <v>460007199903174388</v>
      </c>
      <c r="D4132" t="str">
        <f>"248030401318"</f>
        <v>248030401318</v>
      </c>
      <c r="L4132">
        <v>5386</v>
      </c>
      <c r="M4132" t="s">
        <v>4605</v>
      </c>
      <c r="N4132" t="str">
        <f>"248030401318"</f>
        <v>248030401318</v>
      </c>
      <c r="O4132" t="str">
        <f>"460007199903174388"</f>
        <v>460007199903174388</v>
      </c>
    </row>
    <row r="4133" customFormat="1" spans="1:15">
      <c r="A4133">
        <v>5387</v>
      </c>
      <c r="B4133" t="s">
        <v>4606</v>
      </c>
      <c r="C4133" t="str">
        <f>"220381199704040235"</f>
        <v>220381199704040235</v>
      </c>
      <c r="D4133" t="str">
        <f>"248030401616"</f>
        <v>248030401616</v>
      </c>
      <c r="L4133">
        <v>5387</v>
      </c>
      <c r="M4133" t="s">
        <v>4606</v>
      </c>
      <c r="N4133" t="str">
        <f>"248030401616"</f>
        <v>248030401616</v>
      </c>
      <c r="O4133" t="str">
        <f>"220381199704040235"</f>
        <v>220381199704040235</v>
      </c>
    </row>
    <row r="4134" customFormat="1" spans="1:15">
      <c r="A4134">
        <v>5389</v>
      </c>
      <c r="B4134" t="s">
        <v>4607</v>
      </c>
      <c r="C4134" t="str">
        <f>"352225198703264528"</f>
        <v>352225198703264528</v>
      </c>
      <c r="D4134" t="str">
        <f>"248030502021"</f>
        <v>248030502021</v>
      </c>
      <c r="L4134">
        <v>5389</v>
      </c>
      <c r="M4134" t="s">
        <v>4607</v>
      </c>
      <c r="N4134" t="str">
        <f>"248030502021"</f>
        <v>248030502021</v>
      </c>
      <c r="O4134" t="str">
        <f>"352225198703264528"</f>
        <v>352225198703264528</v>
      </c>
    </row>
    <row r="4135" customFormat="1" spans="1:15">
      <c r="A4135">
        <v>5390</v>
      </c>
      <c r="B4135" t="s">
        <v>4608</v>
      </c>
      <c r="C4135" t="str">
        <f>"460006199311048752"</f>
        <v>460006199311048752</v>
      </c>
      <c r="L4135">
        <v>5390</v>
      </c>
      <c r="M4135" t="s">
        <v>4608</v>
      </c>
      <c r="O4135" t="str">
        <f>"460006199311048752"</f>
        <v>460006199311048752</v>
      </c>
    </row>
    <row r="4136" customFormat="1" spans="1:15">
      <c r="A4136">
        <v>5391</v>
      </c>
      <c r="B4136" t="s">
        <v>4609</v>
      </c>
      <c r="C4136" t="str">
        <f>"460003200104263421"</f>
        <v>460003200104263421</v>
      </c>
      <c r="D4136" t="str">
        <f>"248030100204"</f>
        <v>248030100204</v>
      </c>
      <c r="L4136">
        <v>5391</v>
      </c>
      <c r="M4136" t="s">
        <v>4609</v>
      </c>
      <c r="N4136" t="str">
        <f>"248030100204"</f>
        <v>248030100204</v>
      </c>
      <c r="O4136" t="str">
        <f>"460003200104263421"</f>
        <v>460003200104263421</v>
      </c>
    </row>
    <row r="4137" customFormat="1" spans="1:15">
      <c r="A4137">
        <v>5392</v>
      </c>
      <c r="B4137" t="s">
        <v>4610</v>
      </c>
      <c r="C4137" t="str">
        <f>"460004198912035247"</f>
        <v>460004198912035247</v>
      </c>
      <c r="D4137" t="str">
        <f>"248030503828"</f>
        <v>248030503828</v>
      </c>
      <c r="L4137">
        <v>5392</v>
      </c>
      <c r="M4137" t="s">
        <v>4610</v>
      </c>
      <c r="N4137" t="str">
        <f>"248030503828"</f>
        <v>248030503828</v>
      </c>
      <c r="O4137" t="str">
        <f>"460004198912035247"</f>
        <v>460004198912035247</v>
      </c>
    </row>
    <row r="4138" customFormat="1" spans="1:15">
      <c r="A4138">
        <v>5393</v>
      </c>
      <c r="B4138" t="s">
        <v>4611</v>
      </c>
      <c r="C4138" t="str">
        <f>"460002199512131020"</f>
        <v>460002199512131020</v>
      </c>
      <c r="D4138" t="str">
        <f>"248030301422"</f>
        <v>248030301422</v>
      </c>
      <c r="L4138">
        <v>5393</v>
      </c>
      <c r="M4138" t="s">
        <v>4611</v>
      </c>
      <c r="N4138" t="str">
        <f>"248030301422"</f>
        <v>248030301422</v>
      </c>
      <c r="O4138" t="str">
        <f>"460002199512131020"</f>
        <v>460002199512131020</v>
      </c>
    </row>
    <row r="4139" customFormat="1" spans="1:15">
      <c r="A4139">
        <v>5394</v>
      </c>
      <c r="B4139" t="s">
        <v>4612</v>
      </c>
      <c r="C4139" t="str">
        <f>"460033199412104521"</f>
        <v>460033199412104521</v>
      </c>
      <c r="L4139">
        <v>5394</v>
      </c>
      <c r="M4139" t="s">
        <v>4612</v>
      </c>
      <c r="O4139" t="str">
        <f>"460033199412104521"</f>
        <v>460033199412104521</v>
      </c>
    </row>
    <row r="4140" customFormat="1" spans="1:15">
      <c r="A4140">
        <v>5395</v>
      </c>
      <c r="B4140" t="s">
        <v>4613</v>
      </c>
      <c r="C4140" t="str">
        <f>"460033200112211179"</f>
        <v>460033200112211179</v>
      </c>
      <c r="D4140" t="str">
        <f>"248030203328"</f>
        <v>248030203328</v>
      </c>
      <c r="L4140">
        <v>5395</v>
      </c>
      <c r="M4140" t="s">
        <v>4613</v>
      </c>
      <c r="N4140" t="str">
        <f>"248030203328"</f>
        <v>248030203328</v>
      </c>
      <c r="O4140" t="str">
        <f>"460033200112211179"</f>
        <v>460033200112211179</v>
      </c>
    </row>
    <row r="4141" customFormat="1" spans="1:15">
      <c r="A4141">
        <v>5396</v>
      </c>
      <c r="B4141" t="s">
        <v>4614</v>
      </c>
      <c r="C4141" t="str">
        <f>"460007199609117227"</f>
        <v>460007199609117227</v>
      </c>
      <c r="D4141" t="str">
        <f>"248030302103"</f>
        <v>248030302103</v>
      </c>
      <c r="L4141">
        <v>5396</v>
      </c>
      <c r="M4141" t="s">
        <v>4614</v>
      </c>
      <c r="N4141" t="str">
        <f>"248030302103"</f>
        <v>248030302103</v>
      </c>
      <c r="O4141" t="str">
        <f>"460007199609117227"</f>
        <v>460007199609117227</v>
      </c>
    </row>
    <row r="4142" customFormat="1" spans="1:15">
      <c r="A4142">
        <v>5397</v>
      </c>
      <c r="B4142" t="s">
        <v>4615</v>
      </c>
      <c r="C4142" t="str">
        <f>"469007199306204962"</f>
        <v>469007199306204962</v>
      </c>
      <c r="D4142" t="str">
        <f>"248030402202"</f>
        <v>248030402202</v>
      </c>
      <c r="L4142">
        <v>5397</v>
      </c>
      <c r="M4142" t="s">
        <v>4615</v>
      </c>
      <c r="N4142" t="str">
        <f>"248030402202"</f>
        <v>248030402202</v>
      </c>
      <c r="O4142" t="str">
        <f>"469007199306204962"</f>
        <v>469007199306204962</v>
      </c>
    </row>
    <row r="4143" customFormat="1" spans="1:15">
      <c r="A4143">
        <v>5398</v>
      </c>
      <c r="B4143" t="s">
        <v>4616</v>
      </c>
      <c r="C4143" t="str">
        <f>"460003199103194158"</f>
        <v>460003199103194158</v>
      </c>
      <c r="L4143">
        <v>5398</v>
      </c>
      <c r="M4143" t="s">
        <v>4616</v>
      </c>
      <c r="O4143" t="str">
        <f>"460003199103194158"</f>
        <v>460003199103194158</v>
      </c>
    </row>
    <row r="4144" customFormat="1" spans="1:15">
      <c r="A4144">
        <v>5399</v>
      </c>
      <c r="B4144" t="s">
        <v>4617</v>
      </c>
      <c r="C4144" t="str">
        <f>"460102200010281230"</f>
        <v>460102200010281230</v>
      </c>
      <c r="D4144" t="str">
        <f>"248030201211"</f>
        <v>248030201211</v>
      </c>
      <c r="L4144">
        <v>5399</v>
      </c>
      <c r="M4144" t="s">
        <v>4617</v>
      </c>
      <c r="N4144" t="str">
        <f>"248030201211"</f>
        <v>248030201211</v>
      </c>
      <c r="O4144" t="str">
        <f>"460102200010281230"</f>
        <v>460102200010281230</v>
      </c>
    </row>
    <row r="4145" customFormat="1" spans="1:15">
      <c r="A4145">
        <v>5400</v>
      </c>
      <c r="B4145" t="s">
        <v>4618</v>
      </c>
      <c r="C4145" t="str">
        <f>"460002199906250823"</f>
        <v>460002199906250823</v>
      </c>
      <c r="D4145" t="str">
        <f>"248030502928"</f>
        <v>248030502928</v>
      </c>
      <c r="L4145">
        <v>5400</v>
      </c>
      <c r="M4145" t="s">
        <v>4618</v>
      </c>
      <c r="N4145" t="str">
        <f>"248030502928"</f>
        <v>248030502928</v>
      </c>
      <c r="O4145" t="str">
        <f>"460002199906250823"</f>
        <v>460002199906250823</v>
      </c>
    </row>
    <row r="4146" customFormat="1" spans="1:15">
      <c r="A4146">
        <v>5401</v>
      </c>
      <c r="B4146" t="s">
        <v>4619</v>
      </c>
      <c r="C4146" t="str">
        <f>"620423199006087024"</f>
        <v>620423199006087024</v>
      </c>
      <c r="L4146">
        <v>5401</v>
      </c>
      <c r="M4146" t="s">
        <v>4619</v>
      </c>
      <c r="O4146" t="str">
        <f>"620423199006087024"</f>
        <v>620423199006087024</v>
      </c>
    </row>
    <row r="4147" customFormat="1" spans="1:15">
      <c r="A4147">
        <v>5402</v>
      </c>
      <c r="B4147" t="s">
        <v>3049</v>
      </c>
      <c r="C4147" t="str">
        <f>"460034199903115520"</f>
        <v>460034199903115520</v>
      </c>
      <c r="D4147" t="str">
        <f>"248030103401"</f>
        <v>248030103401</v>
      </c>
      <c r="L4147">
        <v>5402</v>
      </c>
      <c r="M4147" t="s">
        <v>3049</v>
      </c>
      <c r="N4147" t="str">
        <f>"248030103401"</f>
        <v>248030103401</v>
      </c>
      <c r="O4147" t="str">
        <f>"460034199903115520"</f>
        <v>460034199903115520</v>
      </c>
    </row>
    <row r="4148" customFormat="1" spans="1:15">
      <c r="A4148">
        <v>5403</v>
      </c>
      <c r="B4148" t="s">
        <v>4620</v>
      </c>
      <c r="C4148" t="str">
        <f>"46002720010723001X"</f>
        <v>46002720010723001X</v>
      </c>
      <c r="D4148" t="str">
        <f>"248030201329"</f>
        <v>248030201329</v>
      </c>
      <c r="L4148">
        <v>5403</v>
      </c>
      <c r="M4148" t="s">
        <v>4620</v>
      </c>
      <c r="N4148" t="str">
        <f>"248030201329"</f>
        <v>248030201329</v>
      </c>
      <c r="O4148" t="str">
        <f>"46002720010723001X"</f>
        <v>46002720010723001X</v>
      </c>
    </row>
    <row r="4149" customFormat="1" spans="1:15">
      <c r="A4149">
        <v>5404</v>
      </c>
      <c r="B4149" t="s">
        <v>4621</v>
      </c>
      <c r="C4149" t="str">
        <f>"460033200107165083"</f>
        <v>460033200107165083</v>
      </c>
      <c r="D4149" t="str">
        <f>"248030500630"</f>
        <v>248030500630</v>
      </c>
      <c r="L4149">
        <v>5404</v>
      </c>
      <c r="M4149" t="s">
        <v>4621</v>
      </c>
      <c r="N4149" t="str">
        <f>"248030500630"</f>
        <v>248030500630</v>
      </c>
      <c r="O4149" t="str">
        <f>"460033200107165083"</f>
        <v>460033200107165083</v>
      </c>
    </row>
    <row r="4150" customFormat="1" spans="1:15">
      <c r="A4150">
        <v>5405</v>
      </c>
      <c r="B4150" t="s">
        <v>4622</v>
      </c>
      <c r="C4150" t="str">
        <f>"460027199206154723"</f>
        <v>460027199206154723</v>
      </c>
      <c r="L4150">
        <v>5405</v>
      </c>
      <c r="M4150" t="s">
        <v>4622</v>
      </c>
      <c r="O4150" t="str">
        <f>"460027199206154723"</f>
        <v>460027199206154723</v>
      </c>
    </row>
    <row r="4151" customFormat="1" spans="1:15">
      <c r="A4151">
        <v>5406</v>
      </c>
      <c r="B4151" t="s">
        <v>4623</v>
      </c>
      <c r="C4151" t="str">
        <f>"140428199612250044"</f>
        <v>140428199612250044</v>
      </c>
      <c r="D4151" t="str">
        <f>"248030101824"</f>
        <v>248030101824</v>
      </c>
      <c r="L4151">
        <v>5406</v>
      </c>
      <c r="M4151" t="s">
        <v>4623</v>
      </c>
      <c r="N4151" t="str">
        <f>"248030101824"</f>
        <v>248030101824</v>
      </c>
      <c r="O4151" t="str">
        <f>"140428199612250044"</f>
        <v>140428199612250044</v>
      </c>
    </row>
    <row r="4152" customFormat="1" spans="1:15">
      <c r="A4152">
        <v>5407</v>
      </c>
      <c r="B4152" t="s">
        <v>4624</v>
      </c>
      <c r="C4152" t="str">
        <f>"460034199710105510"</f>
        <v>460034199710105510</v>
      </c>
      <c r="D4152" t="str">
        <f>"248030201624"</f>
        <v>248030201624</v>
      </c>
      <c r="L4152">
        <v>5407</v>
      </c>
      <c r="M4152" t="s">
        <v>4624</v>
      </c>
      <c r="N4152" t="str">
        <f>"248030201624"</f>
        <v>248030201624</v>
      </c>
      <c r="O4152" t="str">
        <f>"460034199710105510"</f>
        <v>460034199710105510</v>
      </c>
    </row>
    <row r="4153" customFormat="1" spans="1:15">
      <c r="A4153">
        <v>5408</v>
      </c>
      <c r="B4153" t="s">
        <v>4625</v>
      </c>
      <c r="C4153" t="str">
        <f>"460031199507280824"</f>
        <v>460031199507280824</v>
      </c>
      <c r="D4153" t="str">
        <f>"248030502523"</f>
        <v>248030502523</v>
      </c>
      <c r="L4153">
        <v>5408</v>
      </c>
      <c r="M4153" t="s">
        <v>4625</v>
      </c>
      <c r="N4153" t="str">
        <f>"248030502523"</f>
        <v>248030502523</v>
      </c>
      <c r="O4153" t="str">
        <f>"460031199507280824"</f>
        <v>460031199507280824</v>
      </c>
    </row>
    <row r="4154" customFormat="1" spans="1:15">
      <c r="A4154">
        <v>5409</v>
      </c>
      <c r="B4154" t="s">
        <v>4626</v>
      </c>
      <c r="C4154" t="str">
        <f>"460025199608042721"</f>
        <v>460025199608042721</v>
      </c>
      <c r="D4154" t="str">
        <f>"248030500726"</f>
        <v>248030500726</v>
      </c>
      <c r="L4154">
        <v>5409</v>
      </c>
      <c r="M4154" t="s">
        <v>4626</v>
      </c>
      <c r="N4154" t="str">
        <f>"248030500726"</f>
        <v>248030500726</v>
      </c>
      <c r="O4154" t="str">
        <f>"460025199608042721"</f>
        <v>460025199608042721</v>
      </c>
    </row>
    <row r="4155" customFormat="1" spans="1:15">
      <c r="A4155">
        <v>5410</v>
      </c>
      <c r="B4155" t="s">
        <v>59</v>
      </c>
      <c r="C4155" t="str">
        <f>"460033198612070069"</f>
        <v>460033198612070069</v>
      </c>
      <c r="D4155" t="str">
        <f>"248030301715"</f>
        <v>248030301715</v>
      </c>
      <c r="L4155">
        <v>5410</v>
      </c>
      <c r="M4155" t="s">
        <v>59</v>
      </c>
      <c r="N4155" t="str">
        <f>"248030301715"</f>
        <v>248030301715</v>
      </c>
      <c r="O4155" t="str">
        <f>"460033198612070069"</f>
        <v>460033198612070069</v>
      </c>
    </row>
    <row r="4156" customFormat="1" spans="1:15">
      <c r="A4156">
        <v>5411</v>
      </c>
      <c r="B4156" t="s">
        <v>4627</v>
      </c>
      <c r="C4156" t="str">
        <f>"469027199612214558"</f>
        <v>469027199612214558</v>
      </c>
      <c r="D4156" t="str">
        <f>"248030200614"</f>
        <v>248030200614</v>
      </c>
      <c r="L4156">
        <v>5411</v>
      </c>
      <c r="M4156" t="s">
        <v>4627</v>
      </c>
      <c r="N4156" t="str">
        <f>"248030200614"</f>
        <v>248030200614</v>
      </c>
      <c r="O4156" t="str">
        <f>"469027199612214558"</f>
        <v>469027199612214558</v>
      </c>
    </row>
    <row r="4157" customFormat="1" spans="1:15">
      <c r="A4157">
        <v>5413</v>
      </c>
      <c r="B4157" t="s">
        <v>4628</v>
      </c>
      <c r="C4157" t="str">
        <f>"460005200009280760"</f>
        <v>460005200009280760</v>
      </c>
      <c r="D4157" t="str">
        <f>"248030302305"</f>
        <v>248030302305</v>
      </c>
      <c r="L4157">
        <v>5413</v>
      </c>
      <c r="M4157" t="s">
        <v>4628</v>
      </c>
      <c r="N4157" t="str">
        <f>"248030302305"</f>
        <v>248030302305</v>
      </c>
      <c r="O4157" t="str">
        <f>"460005200009280760"</f>
        <v>460005200009280760</v>
      </c>
    </row>
    <row r="4158" customFormat="1" spans="1:15">
      <c r="A4158">
        <v>5414</v>
      </c>
      <c r="B4158" t="s">
        <v>4629</v>
      </c>
      <c r="C4158" t="str">
        <f>"460007200003187234"</f>
        <v>460007200003187234</v>
      </c>
      <c r="D4158" t="str">
        <f>"248030201316"</f>
        <v>248030201316</v>
      </c>
      <c r="L4158">
        <v>5414</v>
      </c>
      <c r="M4158" t="s">
        <v>4629</v>
      </c>
      <c r="N4158" t="str">
        <f>"248030201316"</f>
        <v>248030201316</v>
      </c>
      <c r="O4158" t="str">
        <f>"460007200003187234"</f>
        <v>460007200003187234</v>
      </c>
    </row>
    <row r="4159" customFormat="1" spans="1:15">
      <c r="A4159">
        <v>5415</v>
      </c>
      <c r="B4159" t="s">
        <v>4630</v>
      </c>
      <c r="C4159" t="str">
        <f>"460036200111281828"</f>
        <v>460036200111281828</v>
      </c>
      <c r="D4159" t="str">
        <f>"248030301313"</f>
        <v>248030301313</v>
      </c>
      <c r="L4159">
        <v>5415</v>
      </c>
      <c r="M4159" t="s">
        <v>4630</v>
      </c>
      <c r="N4159" t="str">
        <f>"248030301313"</f>
        <v>248030301313</v>
      </c>
      <c r="O4159" t="str">
        <f>"460036200111281828"</f>
        <v>460036200111281828</v>
      </c>
    </row>
    <row r="4160" customFormat="1" spans="1:15">
      <c r="A4160">
        <v>5417</v>
      </c>
      <c r="B4160" t="s">
        <v>4631</v>
      </c>
      <c r="C4160" t="str">
        <f>"460002199212305842"</f>
        <v>460002199212305842</v>
      </c>
      <c r="D4160" t="str">
        <f>"248030105010"</f>
        <v>248030105010</v>
      </c>
      <c r="L4160">
        <v>5417</v>
      </c>
      <c r="M4160" t="s">
        <v>4631</v>
      </c>
      <c r="N4160" t="str">
        <f>"248030105010"</f>
        <v>248030105010</v>
      </c>
      <c r="O4160" t="str">
        <f>"460002199212305842"</f>
        <v>460002199212305842</v>
      </c>
    </row>
    <row r="4161" customFormat="1" spans="1:15">
      <c r="A4161">
        <v>5418</v>
      </c>
      <c r="B4161" t="s">
        <v>4632</v>
      </c>
      <c r="C4161" t="str">
        <f>"460026198504010022"</f>
        <v>460026198504010022</v>
      </c>
      <c r="D4161" t="str">
        <f>"248030501814"</f>
        <v>248030501814</v>
      </c>
      <c r="L4161">
        <v>5418</v>
      </c>
      <c r="M4161" t="s">
        <v>4632</v>
      </c>
      <c r="N4161" t="str">
        <f>"248030501814"</f>
        <v>248030501814</v>
      </c>
      <c r="O4161" t="str">
        <f>"460026198504010022"</f>
        <v>460026198504010022</v>
      </c>
    </row>
    <row r="4162" customFormat="1" spans="1:15">
      <c r="A4162">
        <v>5421</v>
      </c>
      <c r="B4162" t="s">
        <v>4633</v>
      </c>
      <c r="C4162" t="str">
        <f>"46000319950801408X"</f>
        <v>46000319950801408X</v>
      </c>
      <c r="D4162" t="str">
        <f>"248030203208"</f>
        <v>248030203208</v>
      </c>
      <c r="L4162">
        <v>5421</v>
      </c>
      <c r="M4162" t="s">
        <v>4633</v>
      </c>
      <c r="N4162" t="str">
        <f>"248030203208"</f>
        <v>248030203208</v>
      </c>
      <c r="O4162" t="str">
        <f>"46000319950801408X"</f>
        <v>46000319950801408X</v>
      </c>
    </row>
    <row r="4163" customFormat="1" spans="1:15">
      <c r="A4163">
        <v>5422</v>
      </c>
      <c r="B4163" t="s">
        <v>4634</v>
      </c>
      <c r="C4163" t="str">
        <f>"450821200010154720"</f>
        <v>450821200010154720</v>
      </c>
      <c r="D4163" t="str">
        <f>"248030202601"</f>
        <v>248030202601</v>
      </c>
      <c r="L4163">
        <v>5422</v>
      </c>
      <c r="M4163" t="s">
        <v>4634</v>
      </c>
      <c r="N4163" t="str">
        <f>"248030202601"</f>
        <v>248030202601</v>
      </c>
      <c r="O4163" t="str">
        <f>"450821200010154720"</f>
        <v>450821200010154720</v>
      </c>
    </row>
    <row r="4164" customFormat="1" spans="1:15">
      <c r="A4164">
        <v>5423</v>
      </c>
      <c r="B4164" t="s">
        <v>4635</v>
      </c>
      <c r="C4164" t="str">
        <f>"152104199808035940"</f>
        <v>152104199808035940</v>
      </c>
      <c r="L4164">
        <v>5423</v>
      </c>
      <c r="M4164" t="s">
        <v>4635</v>
      </c>
      <c r="O4164" t="str">
        <f>"152104199808035940"</f>
        <v>152104199808035940</v>
      </c>
    </row>
    <row r="4165" customFormat="1" spans="1:15">
      <c r="A4165">
        <v>5424</v>
      </c>
      <c r="B4165" t="s">
        <v>4636</v>
      </c>
      <c r="C4165" t="str">
        <f>"460003199806076211"</f>
        <v>460003199806076211</v>
      </c>
      <c r="D4165" t="str">
        <f>"248030201804"</f>
        <v>248030201804</v>
      </c>
      <c r="L4165">
        <v>5424</v>
      </c>
      <c r="M4165" t="s">
        <v>4636</v>
      </c>
      <c r="N4165" t="str">
        <f>"248030201804"</f>
        <v>248030201804</v>
      </c>
      <c r="O4165" t="str">
        <f>"460003199806076211"</f>
        <v>460003199806076211</v>
      </c>
    </row>
    <row r="4166" customFormat="1" spans="1:15">
      <c r="A4166">
        <v>5425</v>
      </c>
      <c r="B4166" t="s">
        <v>4637</v>
      </c>
      <c r="C4166" t="str">
        <f>"460033199809045072"</f>
        <v>460033199809045072</v>
      </c>
      <c r="L4166">
        <v>5425</v>
      </c>
      <c r="M4166" t="s">
        <v>4637</v>
      </c>
      <c r="O4166" t="str">
        <f>"460033199809045072"</f>
        <v>460033199809045072</v>
      </c>
    </row>
    <row r="4167" customFormat="1" spans="1:15">
      <c r="A4167">
        <v>5426</v>
      </c>
      <c r="B4167" t="s">
        <v>4638</v>
      </c>
      <c r="C4167" t="str">
        <f>"460005199906240325"</f>
        <v>460005199906240325</v>
      </c>
      <c r="D4167" t="str">
        <f>"248030202608"</f>
        <v>248030202608</v>
      </c>
      <c r="L4167">
        <v>5426</v>
      </c>
      <c r="M4167" t="s">
        <v>4638</v>
      </c>
      <c r="N4167" t="str">
        <f>"248030202608"</f>
        <v>248030202608</v>
      </c>
      <c r="O4167" t="str">
        <f>"460005199906240325"</f>
        <v>460005199906240325</v>
      </c>
    </row>
    <row r="4168" customFormat="1" spans="1:15">
      <c r="A4168">
        <v>5428</v>
      </c>
      <c r="B4168" t="s">
        <v>4639</v>
      </c>
      <c r="C4168" t="str">
        <f>"460028199409246026"</f>
        <v>460028199409246026</v>
      </c>
      <c r="D4168" t="str">
        <f>"248030203801"</f>
        <v>248030203801</v>
      </c>
      <c r="L4168">
        <v>5428</v>
      </c>
      <c r="M4168" t="s">
        <v>4639</v>
      </c>
      <c r="N4168" t="str">
        <f>"248030203801"</f>
        <v>248030203801</v>
      </c>
      <c r="O4168" t="str">
        <f>"460028199409246026"</f>
        <v>460028199409246026</v>
      </c>
    </row>
    <row r="4169" customFormat="1" spans="1:15">
      <c r="A4169">
        <v>5429</v>
      </c>
      <c r="B4169" t="s">
        <v>4640</v>
      </c>
      <c r="C4169" t="str">
        <f>"460003198608310025"</f>
        <v>460003198608310025</v>
      </c>
      <c r="D4169" t="str">
        <f>"248030500819"</f>
        <v>248030500819</v>
      </c>
      <c r="L4169">
        <v>5429</v>
      </c>
      <c r="M4169" t="s">
        <v>4640</v>
      </c>
      <c r="N4169" t="str">
        <f>"248030500819"</f>
        <v>248030500819</v>
      </c>
      <c r="O4169" t="str">
        <f>"460003198608310025"</f>
        <v>460003198608310025</v>
      </c>
    </row>
    <row r="4170" customFormat="1" spans="1:15">
      <c r="A4170">
        <v>5430</v>
      </c>
      <c r="B4170" t="s">
        <v>4641</v>
      </c>
      <c r="C4170" t="str">
        <f>"460004200002270627"</f>
        <v>460004200002270627</v>
      </c>
      <c r="D4170" t="str">
        <f>"248030100803"</f>
        <v>248030100803</v>
      </c>
      <c r="L4170">
        <v>5430</v>
      </c>
      <c r="M4170" t="s">
        <v>4641</v>
      </c>
      <c r="N4170" t="str">
        <f>"248030100803"</f>
        <v>248030100803</v>
      </c>
      <c r="O4170" t="str">
        <f>"460004200002270627"</f>
        <v>460004200002270627</v>
      </c>
    </row>
    <row r="4171" customFormat="1" spans="1:15">
      <c r="A4171">
        <v>5431</v>
      </c>
      <c r="B4171" t="s">
        <v>4642</v>
      </c>
      <c r="C4171" t="str">
        <f>"460002199809062222"</f>
        <v>460002199809062222</v>
      </c>
      <c r="D4171" t="str">
        <f>"248030201323"</f>
        <v>248030201323</v>
      </c>
      <c r="L4171">
        <v>5431</v>
      </c>
      <c r="M4171" t="s">
        <v>4642</v>
      </c>
      <c r="N4171" t="str">
        <f>"248030201323"</f>
        <v>248030201323</v>
      </c>
      <c r="O4171" t="str">
        <f>"460002199809062222"</f>
        <v>460002199809062222</v>
      </c>
    </row>
    <row r="4172" customFormat="1" spans="1:15">
      <c r="A4172">
        <v>5432</v>
      </c>
      <c r="B4172" t="s">
        <v>4643</v>
      </c>
      <c r="C4172" t="str">
        <f>"460102198404062428"</f>
        <v>460102198404062428</v>
      </c>
      <c r="D4172" t="str">
        <f>"248030500812"</f>
        <v>248030500812</v>
      </c>
      <c r="L4172">
        <v>5432</v>
      </c>
      <c r="M4172" t="s">
        <v>4643</v>
      </c>
      <c r="N4172" t="str">
        <f>"248030500812"</f>
        <v>248030500812</v>
      </c>
      <c r="O4172" t="str">
        <f>"460102198404062428"</f>
        <v>460102198404062428</v>
      </c>
    </row>
    <row r="4173" customFormat="1" spans="1:15">
      <c r="A4173">
        <v>5433</v>
      </c>
      <c r="B4173" t="s">
        <v>4644</v>
      </c>
      <c r="C4173" t="str">
        <f>"460006199401227527"</f>
        <v>460006199401227527</v>
      </c>
      <c r="D4173" t="str">
        <f>"248030500918"</f>
        <v>248030500918</v>
      </c>
      <c r="L4173">
        <v>5433</v>
      </c>
      <c r="M4173" t="s">
        <v>4644</v>
      </c>
      <c r="N4173" t="str">
        <f>"248030500918"</f>
        <v>248030500918</v>
      </c>
      <c r="O4173" t="str">
        <f>"460006199401227527"</f>
        <v>460006199401227527</v>
      </c>
    </row>
    <row r="4174" customFormat="1" spans="1:15">
      <c r="A4174">
        <v>5434</v>
      </c>
      <c r="B4174" t="s">
        <v>4645</v>
      </c>
      <c r="C4174" t="str">
        <f>"46000319990112201X"</f>
        <v>46000319990112201X</v>
      </c>
      <c r="D4174" t="str">
        <f>"248030201322"</f>
        <v>248030201322</v>
      </c>
      <c r="L4174">
        <v>5434</v>
      </c>
      <c r="M4174" t="s">
        <v>4645</v>
      </c>
      <c r="N4174" t="str">
        <f>"248030201322"</f>
        <v>248030201322</v>
      </c>
      <c r="O4174" t="str">
        <f>"46000319990112201X"</f>
        <v>46000319990112201X</v>
      </c>
    </row>
    <row r="4175" customFormat="1" spans="1:15">
      <c r="A4175">
        <v>5435</v>
      </c>
      <c r="B4175" t="s">
        <v>4646</v>
      </c>
      <c r="C4175" t="str">
        <f>"460028200008101219"</f>
        <v>460028200008101219</v>
      </c>
      <c r="D4175" t="str">
        <f>"248030300405"</f>
        <v>248030300405</v>
      </c>
      <c r="L4175">
        <v>5435</v>
      </c>
      <c r="M4175" t="s">
        <v>4646</v>
      </c>
      <c r="N4175" t="str">
        <f>"248030300405"</f>
        <v>248030300405</v>
      </c>
      <c r="O4175" t="str">
        <f>"460028200008101219"</f>
        <v>460028200008101219</v>
      </c>
    </row>
    <row r="4176" customFormat="1" spans="1:15">
      <c r="A4176">
        <v>5436</v>
      </c>
      <c r="B4176" t="s">
        <v>4647</v>
      </c>
      <c r="C4176" t="str">
        <f>"460002200104202817"</f>
        <v>460002200104202817</v>
      </c>
      <c r="D4176" t="str">
        <f>"248030200216"</f>
        <v>248030200216</v>
      </c>
      <c r="L4176">
        <v>5436</v>
      </c>
      <c r="M4176" t="s">
        <v>4647</v>
      </c>
      <c r="N4176" t="str">
        <f>"248030200216"</f>
        <v>248030200216</v>
      </c>
      <c r="O4176" t="str">
        <f>"460002200104202817"</f>
        <v>460002200104202817</v>
      </c>
    </row>
    <row r="4177" customFormat="1" spans="1:15">
      <c r="A4177">
        <v>5437</v>
      </c>
      <c r="B4177" t="s">
        <v>3767</v>
      </c>
      <c r="C4177" t="str">
        <f>"46000419940907522X"</f>
        <v>46000419940907522X</v>
      </c>
      <c r="D4177" t="str">
        <f>"248030502426"</f>
        <v>248030502426</v>
      </c>
      <c r="L4177">
        <v>5437</v>
      </c>
      <c r="M4177" t="s">
        <v>3767</v>
      </c>
      <c r="N4177" t="str">
        <f>"248030502426"</f>
        <v>248030502426</v>
      </c>
      <c r="O4177" t="str">
        <f>"46000419940907522X"</f>
        <v>46000419940907522X</v>
      </c>
    </row>
    <row r="4178" customFormat="1" spans="1:15">
      <c r="A4178">
        <v>5438</v>
      </c>
      <c r="B4178" t="s">
        <v>4648</v>
      </c>
      <c r="C4178" t="str">
        <f>"460003199412204620"</f>
        <v>460003199412204620</v>
      </c>
      <c r="D4178" t="str">
        <f>"248030100412"</f>
        <v>248030100412</v>
      </c>
      <c r="L4178">
        <v>5438</v>
      </c>
      <c r="M4178" t="s">
        <v>4648</v>
      </c>
      <c r="N4178" t="str">
        <f>"248030100412"</f>
        <v>248030100412</v>
      </c>
      <c r="O4178" t="str">
        <f>"460003199412204620"</f>
        <v>460003199412204620</v>
      </c>
    </row>
    <row r="4179" customFormat="1" spans="1:15">
      <c r="A4179">
        <v>5440</v>
      </c>
      <c r="B4179" t="s">
        <v>4649</v>
      </c>
      <c r="C4179" t="str">
        <f>"460033200005233225"</f>
        <v>460033200005233225</v>
      </c>
      <c r="L4179">
        <v>5440</v>
      </c>
      <c r="M4179" t="s">
        <v>4649</v>
      </c>
      <c r="O4179" t="str">
        <f>"460033200005233225"</f>
        <v>460033200005233225</v>
      </c>
    </row>
    <row r="4180" customFormat="1" spans="1:15">
      <c r="A4180">
        <v>5441</v>
      </c>
      <c r="B4180" t="s">
        <v>4650</v>
      </c>
      <c r="C4180" t="str">
        <f>"460003199912302438"</f>
        <v>460003199912302438</v>
      </c>
      <c r="L4180">
        <v>5441</v>
      </c>
      <c r="M4180" t="s">
        <v>4650</v>
      </c>
      <c r="O4180" t="str">
        <f>"460003199912302438"</f>
        <v>460003199912302438</v>
      </c>
    </row>
    <row r="4181" customFormat="1" spans="1:15">
      <c r="A4181">
        <v>5442</v>
      </c>
      <c r="B4181" t="s">
        <v>4651</v>
      </c>
      <c r="C4181" t="str">
        <f>"460033199907243240"</f>
        <v>460033199907243240</v>
      </c>
      <c r="D4181" t="str">
        <f>"248030301401"</f>
        <v>248030301401</v>
      </c>
      <c r="L4181">
        <v>5442</v>
      </c>
      <c r="M4181" t="s">
        <v>4651</v>
      </c>
      <c r="N4181" t="str">
        <f>"248030301401"</f>
        <v>248030301401</v>
      </c>
      <c r="O4181" t="str">
        <f>"460033199907243240"</f>
        <v>460033199907243240</v>
      </c>
    </row>
    <row r="4182" customFormat="1" spans="1:15">
      <c r="A4182">
        <v>5443</v>
      </c>
      <c r="B4182" t="s">
        <v>1085</v>
      </c>
      <c r="C4182" t="str">
        <f>"460027199507220640"</f>
        <v>460027199507220640</v>
      </c>
      <c r="L4182">
        <v>5443</v>
      </c>
      <c r="M4182" t="s">
        <v>1085</v>
      </c>
      <c r="O4182" t="str">
        <f>"460027199507220640"</f>
        <v>460027199507220640</v>
      </c>
    </row>
    <row r="4183" customFormat="1" spans="1:15">
      <c r="A4183">
        <v>5444</v>
      </c>
      <c r="B4183" t="s">
        <v>4652</v>
      </c>
      <c r="C4183" t="str">
        <f>"142202199408210149"</f>
        <v>142202199408210149</v>
      </c>
      <c r="D4183" t="str">
        <f>"248030401725"</f>
        <v>248030401725</v>
      </c>
      <c r="L4183">
        <v>5444</v>
      </c>
      <c r="M4183" t="s">
        <v>4652</v>
      </c>
      <c r="N4183" t="str">
        <f>"248030401725"</f>
        <v>248030401725</v>
      </c>
      <c r="O4183" t="str">
        <f>"142202199408210149"</f>
        <v>142202199408210149</v>
      </c>
    </row>
    <row r="4184" customFormat="1" spans="1:15">
      <c r="A4184">
        <v>5445</v>
      </c>
      <c r="B4184" t="s">
        <v>4653</v>
      </c>
      <c r="C4184" t="str">
        <f>"460003199310310625"</f>
        <v>460003199310310625</v>
      </c>
      <c r="D4184" t="str">
        <f>"248030403909"</f>
        <v>248030403909</v>
      </c>
      <c r="L4184">
        <v>5445</v>
      </c>
      <c r="M4184" t="s">
        <v>4653</v>
      </c>
      <c r="N4184" t="str">
        <f>"248030403909"</f>
        <v>248030403909</v>
      </c>
      <c r="O4184" t="str">
        <f>"460003199310310625"</f>
        <v>460003199310310625</v>
      </c>
    </row>
    <row r="4185" customFormat="1" spans="1:15">
      <c r="A4185">
        <v>5446</v>
      </c>
      <c r="B4185" t="s">
        <v>4654</v>
      </c>
      <c r="C4185" t="str">
        <f>"460002200108224423"</f>
        <v>460002200108224423</v>
      </c>
      <c r="D4185" t="str">
        <f>"248030101230"</f>
        <v>248030101230</v>
      </c>
      <c r="L4185">
        <v>5446</v>
      </c>
      <c r="M4185" t="s">
        <v>4654</v>
      </c>
      <c r="N4185" t="str">
        <f>"248030101230"</f>
        <v>248030101230</v>
      </c>
      <c r="O4185" t="str">
        <f>"460002200108224423"</f>
        <v>460002200108224423</v>
      </c>
    </row>
    <row r="4186" customFormat="1" spans="1:15">
      <c r="A4186">
        <v>5447</v>
      </c>
      <c r="B4186" t="s">
        <v>4655</v>
      </c>
      <c r="C4186" t="str">
        <f>"460027199503122963"</f>
        <v>460027199503122963</v>
      </c>
      <c r="D4186" t="str">
        <f>"248030103717"</f>
        <v>248030103717</v>
      </c>
      <c r="L4186">
        <v>5447</v>
      </c>
      <c r="M4186" t="s">
        <v>4655</v>
      </c>
      <c r="N4186" t="str">
        <f>"248030103717"</f>
        <v>248030103717</v>
      </c>
      <c r="O4186" t="str">
        <f>"460027199503122963"</f>
        <v>460027199503122963</v>
      </c>
    </row>
    <row r="4187" customFormat="1" spans="1:15">
      <c r="A4187">
        <v>5448</v>
      </c>
      <c r="B4187" t="s">
        <v>456</v>
      </c>
      <c r="C4187" t="str">
        <f>"460105199805027520"</f>
        <v>460105199805027520</v>
      </c>
      <c r="D4187" t="str">
        <f>"248030401305"</f>
        <v>248030401305</v>
      </c>
      <c r="L4187">
        <v>5448</v>
      </c>
      <c r="M4187" t="s">
        <v>456</v>
      </c>
      <c r="N4187" t="str">
        <f>"248030401305"</f>
        <v>248030401305</v>
      </c>
      <c r="O4187" t="str">
        <f>"460105199805027520"</f>
        <v>460105199805027520</v>
      </c>
    </row>
    <row r="4188" customFormat="1" spans="1:15">
      <c r="A4188">
        <v>5449</v>
      </c>
      <c r="B4188" t="s">
        <v>4656</v>
      </c>
      <c r="C4188" t="str">
        <f>"460027200112310014"</f>
        <v>460027200112310014</v>
      </c>
      <c r="D4188" t="str">
        <f>"248030302605"</f>
        <v>248030302605</v>
      </c>
      <c r="L4188">
        <v>5449</v>
      </c>
      <c r="M4188" t="s">
        <v>4656</v>
      </c>
      <c r="N4188" t="str">
        <f>"248030302605"</f>
        <v>248030302605</v>
      </c>
      <c r="O4188" t="str">
        <f>"460027200112310014"</f>
        <v>460027200112310014</v>
      </c>
    </row>
    <row r="4189" customFormat="1" spans="1:15">
      <c r="A4189">
        <v>5450</v>
      </c>
      <c r="B4189" t="s">
        <v>4657</v>
      </c>
      <c r="C4189" t="str">
        <f>"460003199708063046"</f>
        <v>460003199708063046</v>
      </c>
      <c r="D4189" t="str">
        <f>"248030501119"</f>
        <v>248030501119</v>
      </c>
      <c r="L4189">
        <v>5450</v>
      </c>
      <c r="M4189" t="s">
        <v>4657</v>
      </c>
      <c r="N4189" t="str">
        <f>"248030501119"</f>
        <v>248030501119</v>
      </c>
      <c r="O4189" t="str">
        <f>"460003199708063046"</f>
        <v>460003199708063046</v>
      </c>
    </row>
    <row r="4190" customFormat="1" spans="1:15">
      <c r="A4190">
        <v>5453</v>
      </c>
      <c r="B4190" t="s">
        <v>4658</v>
      </c>
      <c r="C4190" t="str">
        <f>"469002200202264622"</f>
        <v>469002200202264622</v>
      </c>
      <c r="L4190">
        <v>5453</v>
      </c>
      <c r="M4190" t="s">
        <v>4658</v>
      </c>
      <c r="O4190" t="str">
        <f>"469002200202264622"</f>
        <v>469002200202264622</v>
      </c>
    </row>
    <row r="4191" customFormat="1" spans="1:15">
      <c r="A4191">
        <v>5455</v>
      </c>
      <c r="B4191" t="s">
        <v>4659</v>
      </c>
      <c r="C4191" t="str">
        <f>"460003199411251425"</f>
        <v>460003199411251425</v>
      </c>
      <c r="D4191" t="str">
        <f>"248030102829"</f>
        <v>248030102829</v>
      </c>
      <c r="L4191">
        <v>5455</v>
      </c>
      <c r="M4191" t="s">
        <v>4659</v>
      </c>
      <c r="N4191" t="str">
        <f>"248030102829"</f>
        <v>248030102829</v>
      </c>
      <c r="O4191" t="str">
        <f>"460003199411251425"</f>
        <v>460003199411251425</v>
      </c>
    </row>
    <row r="4192" customFormat="1" spans="1:15">
      <c r="A4192">
        <v>5457</v>
      </c>
      <c r="B4192" t="s">
        <v>4660</v>
      </c>
      <c r="C4192" t="str">
        <f>"460033199910064833"</f>
        <v>460033199910064833</v>
      </c>
      <c r="D4192" t="str">
        <f>"248030400713"</f>
        <v>248030400713</v>
      </c>
      <c r="L4192">
        <v>5457</v>
      </c>
      <c r="M4192" t="s">
        <v>4660</v>
      </c>
      <c r="N4192" t="str">
        <f>"248030400713"</f>
        <v>248030400713</v>
      </c>
      <c r="O4192" t="str">
        <f>"460033199910064833"</f>
        <v>460033199910064833</v>
      </c>
    </row>
    <row r="4193" customFormat="1" spans="1:15">
      <c r="A4193">
        <v>5459</v>
      </c>
      <c r="B4193" t="s">
        <v>4661</v>
      </c>
      <c r="C4193" t="str">
        <f>"460200199811020986"</f>
        <v>460200199811020986</v>
      </c>
      <c r="L4193">
        <v>5459</v>
      </c>
      <c r="M4193" t="s">
        <v>4661</v>
      </c>
      <c r="O4193" t="str">
        <f>"460200199811020986"</f>
        <v>460200199811020986</v>
      </c>
    </row>
    <row r="4194" customFormat="1" spans="1:15">
      <c r="A4194">
        <v>5460</v>
      </c>
      <c r="B4194" t="s">
        <v>4662</v>
      </c>
      <c r="C4194" t="str">
        <f>"460033199703310026"</f>
        <v>460033199703310026</v>
      </c>
      <c r="D4194" t="str">
        <f>"248030104404"</f>
        <v>248030104404</v>
      </c>
      <c r="L4194">
        <v>5460</v>
      </c>
      <c r="M4194" t="s">
        <v>4662</v>
      </c>
      <c r="N4194" t="str">
        <f>"248030104404"</f>
        <v>248030104404</v>
      </c>
      <c r="O4194" t="str">
        <f>"460033199703310026"</f>
        <v>460033199703310026</v>
      </c>
    </row>
    <row r="4195" customFormat="1" spans="1:15">
      <c r="A4195">
        <v>5461</v>
      </c>
      <c r="B4195" t="s">
        <v>4663</v>
      </c>
      <c r="C4195" t="str">
        <f>"460103200007221225"</f>
        <v>460103200007221225</v>
      </c>
      <c r="D4195" t="str">
        <f>"248030504127"</f>
        <v>248030504127</v>
      </c>
      <c r="L4195">
        <v>5461</v>
      </c>
      <c r="M4195" t="s">
        <v>4663</v>
      </c>
      <c r="N4195" t="str">
        <f>"248030504127"</f>
        <v>248030504127</v>
      </c>
      <c r="O4195" t="str">
        <f>"460103200007221225"</f>
        <v>460103200007221225</v>
      </c>
    </row>
    <row r="4196" customFormat="1" spans="1:15">
      <c r="A4196">
        <v>5464</v>
      </c>
      <c r="B4196" t="s">
        <v>4664</v>
      </c>
      <c r="C4196" t="str">
        <f>"460004199003113820"</f>
        <v>460004199003113820</v>
      </c>
      <c r="D4196" t="str">
        <f>"248030100212"</f>
        <v>248030100212</v>
      </c>
      <c r="L4196">
        <v>5464</v>
      </c>
      <c r="M4196" t="s">
        <v>4664</v>
      </c>
      <c r="N4196" t="str">
        <f>"248030100212"</f>
        <v>248030100212</v>
      </c>
      <c r="O4196" t="str">
        <f>"460004199003113820"</f>
        <v>460004199003113820</v>
      </c>
    </row>
    <row r="4197" customFormat="1" spans="1:15">
      <c r="A4197">
        <v>5465</v>
      </c>
      <c r="B4197" t="s">
        <v>4665</v>
      </c>
      <c r="C4197" t="str">
        <f>"360731199808130066"</f>
        <v>360731199808130066</v>
      </c>
      <c r="D4197" t="str">
        <f>"248030201423"</f>
        <v>248030201423</v>
      </c>
      <c r="L4197">
        <v>5465</v>
      </c>
      <c r="M4197" t="s">
        <v>4665</v>
      </c>
      <c r="N4197" t="str">
        <f>"248030201423"</f>
        <v>248030201423</v>
      </c>
      <c r="O4197" t="str">
        <f>"360731199808130066"</f>
        <v>360731199808130066</v>
      </c>
    </row>
    <row r="4198" customFormat="1" spans="1:15">
      <c r="A4198">
        <v>5466</v>
      </c>
      <c r="B4198" t="s">
        <v>4666</v>
      </c>
      <c r="C4198" t="str">
        <f>"460005200110205124"</f>
        <v>460005200110205124</v>
      </c>
      <c r="D4198" t="str">
        <f>"248030301908"</f>
        <v>248030301908</v>
      </c>
      <c r="L4198">
        <v>5466</v>
      </c>
      <c r="M4198" t="s">
        <v>4666</v>
      </c>
      <c r="N4198" t="str">
        <f>"248030301908"</f>
        <v>248030301908</v>
      </c>
      <c r="O4198" t="str">
        <f>"460005200110205124"</f>
        <v>460005200110205124</v>
      </c>
    </row>
    <row r="4199" customFormat="1" spans="1:15">
      <c r="A4199">
        <v>5467</v>
      </c>
      <c r="B4199" t="s">
        <v>144</v>
      </c>
      <c r="C4199" t="str">
        <f>"46010720000222262X"</f>
        <v>46010720000222262X</v>
      </c>
      <c r="D4199" t="str">
        <f>"248030301213"</f>
        <v>248030301213</v>
      </c>
      <c r="L4199">
        <v>5467</v>
      </c>
      <c r="M4199" t="s">
        <v>144</v>
      </c>
      <c r="N4199" t="str">
        <f>"248030301213"</f>
        <v>248030301213</v>
      </c>
      <c r="O4199" t="str">
        <f>"46010720000222262X"</f>
        <v>46010720000222262X</v>
      </c>
    </row>
    <row r="4200" customFormat="1" spans="1:15">
      <c r="A4200">
        <v>5468</v>
      </c>
      <c r="B4200" t="s">
        <v>4667</v>
      </c>
      <c r="C4200" t="str">
        <f>"460006199606247249"</f>
        <v>460006199606247249</v>
      </c>
      <c r="D4200" t="str">
        <f>"248030104612"</f>
        <v>248030104612</v>
      </c>
      <c r="L4200">
        <v>5468</v>
      </c>
      <c r="M4200" t="s">
        <v>4667</v>
      </c>
      <c r="N4200" t="str">
        <f>"248030104612"</f>
        <v>248030104612</v>
      </c>
      <c r="O4200" t="str">
        <f>"460006199606247249"</f>
        <v>460006199606247249</v>
      </c>
    </row>
    <row r="4201" customFormat="1" spans="1:15">
      <c r="A4201">
        <v>5469</v>
      </c>
      <c r="B4201" t="s">
        <v>4668</v>
      </c>
      <c r="C4201" t="str">
        <f>"460033200004254200"</f>
        <v>460033200004254200</v>
      </c>
      <c r="D4201" t="str">
        <f>"248030403626"</f>
        <v>248030403626</v>
      </c>
      <c r="L4201">
        <v>5469</v>
      </c>
      <c r="M4201" t="s">
        <v>4668</v>
      </c>
      <c r="N4201" t="str">
        <f>"248030403626"</f>
        <v>248030403626</v>
      </c>
      <c r="O4201" t="str">
        <f>"460033200004254200"</f>
        <v>460033200004254200</v>
      </c>
    </row>
    <row r="4202" customFormat="1" spans="1:15">
      <c r="A4202">
        <v>5470</v>
      </c>
      <c r="B4202" t="s">
        <v>4669</v>
      </c>
      <c r="C4202" t="str">
        <f>"532128199010210545"</f>
        <v>532128199010210545</v>
      </c>
      <c r="D4202" t="str">
        <f>"248030403828"</f>
        <v>248030403828</v>
      </c>
      <c r="L4202">
        <v>5470</v>
      </c>
      <c r="M4202" t="s">
        <v>4669</v>
      </c>
      <c r="N4202" t="str">
        <f>"248030403828"</f>
        <v>248030403828</v>
      </c>
      <c r="O4202" t="str">
        <f>"532128199010210545"</f>
        <v>532128199010210545</v>
      </c>
    </row>
    <row r="4203" customFormat="1" spans="1:15">
      <c r="A4203">
        <v>5471</v>
      </c>
      <c r="B4203" t="s">
        <v>4670</v>
      </c>
      <c r="C4203" t="str">
        <f>"460004200102111420"</f>
        <v>460004200102111420</v>
      </c>
      <c r="D4203" t="str">
        <f>"248030302317"</f>
        <v>248030302317</v>
      </c>
      <c r="L4203">
        <v>5471</v>
      </c>
      <c r="M4203" t="s">
        <v>4670</v>
      </c>
      <c r="N4203" t="str">
        <f>"248030302317"</f>
        <v>248030302317</v>
      </c>
      <c r="O4203" t="str">
        <f>"460004200102111420"</f>
        <v>460004200102111420</v>
      </c>
    </row>
    <row r="4204" customFormat="1" spans="1:15">
      <c r="A4204">
        <v>5472</v>
      </c>
      <c r="B4204" t="s">
        <v>4671</v>
      </c>
      <c r="C4204" t="str">
        <f>"460028199808150419"</f>
        <v>460028199808150419</v>
      </c>
      <c r="D4204" t="str">
        <f>"248030203426"</f>
        <v>248030203426</v>
      </c>
      <c r="L4204">
        <v>5472</v>
      </c>
      <c r="M4204" t="s">
        <v>4671</v>
      </c>
      <c r="N4204" t="str">
        <f>"248030203426"</f>
        <v>248030203426</v>
      </c>
      <c r="O4204" t="str">
        <f>"460028199808150419"</f>
        <v>460028199808150419</v>
      </c>
    </row>
    <row r="4205" customFormat="1" spans="1:15">
      <c r="A4205">
        <v>5473</v>
      </c>
      <c r="B4205" t="s">
        <v>4672</v>
      </c>
      <c r="C4205" t="str">
        <f>"622727198810082020"</f>
        <v>622727198810082020</v>
      </c>
      <c r="L4205">
        <v>5473</v>
      </c>
      <c r="M4205" t="s">
        <v>4672</v>
      </c>
      <c r="O4205" t="str">
        <f>"622727198810082020"</f>
        <v>622727198810082020</v>
      </c>
    </row>
    <row r="4206" customFormat="1" spans="1:15">
      <c r="A4206">
        <v>5474</v>
      </c>
      <c r="B4206" t="s">
        <v>4673</v>
      </c>
      <c r="C4206" t="str">
        <f>"460004199707030644"</f>
        <v>460004199707030644</v>
      </c>
      <c r="D4206" t="str">
        <f>"248030202711"</f>
        <v>248030202711</v>
      </c>
      <c r="L4206">
        <v>5474</v>
      </c>
      <c r="M4206" t="s">
        <v>4673</v>
      </c>
      <c r="N4206" t="str">
        <f>"248030202711"</f>
        <v>248030202711</v>
      </c>
      <c r="O4206" t="str">
        <f>"460004199707030644"</f>
        <v>460004199707030644</v>
      </c>
    </row>
    <row r="4207" customFormat="1" spans="1:15">
      <c r="A4207">
        <v>5475</v>
      </c>
      <c r="B4207" t="s">
        <v>4674</v>
      </c>
      <c r="C4207" t="str">
        <f>"410403199504275568"</f>
        <v>410403199504275568</v>
      </c>
      <c r="L4207">
        <v>5475</v>
      </c>
      <c r="M4207" t="s">
        <v>4674</v>
      </c>
      <c r="O4207" t="str">
        <f>"410403199504275568"</f>
        <v>410403199504275568</v>
      </c>
    </row>
    <row r="4208" customFormat="1" spans="1:15">
      <c r="A4208">
        <v>5476</v>
      </c>
      <c r="B4208" t="s">
        <v>4675</v>
      </c>
      <c r="C4208" t="str">
        <f>"362528199912065527"</f>
        <v>362528199912065527</v>
      </c>
      <c r="D4208" t="str">
        <f>"248030503029"</f>
        <v>248030503029</v>
      </c>
      <c r="L4208">
        <v>5476</v>
      </c>
      <c r="M4208" t="s">
        <v>4675</v>
      </c>
      <c r="N4208" t="str">
        <f>"248030503029"</f>
        <v>248030503029</v>
      </c>
      <c r="O4208" t="str">
        <f>"362528199912065527"</f>
        <v>362528199912065527</v>
      </c>
    </row>
    <row r="4209" customFormat="1" spans="1:15">
      <c r="A4209">
        <v>5477</v>
      </c>
      <c r="B4209" t="s">
        <v>4676</v>
      </c>
      <c r="C4209" t="str">
        <f>"460034199804290040"</f>
        <v>460034199804290040</v>
      </c>
      <c r="L4209">
        <v>5477</v>
      </c>
      <c r="M4209" t="s">
        <v>4676</v>
      </c>
      <c r="O4209" t="str">
        <f>"460034199804290040"</f>
        <v>460034199804290040</v>
      </c>
    </row>
    <row r="4210" customFormat="1" spans="1:15">
      <c r="A4210">
        <v>5478</v>
      </c>
      <c r="B4210" t="s">
        <v>4677</v>
      </c>
      <c r="C4210" t="str">
        <f>"13012919860704002X"</f>
        <v>13012919860704002X</v>
      </c>
      <c r="D4210" t="str">
        <f>"248030400901"</f>
        <v>248030400901</v>
      </c>
      <c r="L4210">
        <v>5478</v>
      </c>
      <c r="M4210" t="s">
        <v>4677</v>
      </c>
      <c r="N4210" t="str">
        <f>"248030400901"</f>
        <v>248030400901</v>
      </c>
      <c r="O4210" t="str">
        <f>"13012919860704002X"</f>
        <v>13012919860704002X</v>
      </c>
    </row>
    <row r="4211" customFormat="1" spans="1:15">
      <c r="A4211">
        <v>5479</v>
      </c>
      <c r="B4211" t="s">
        <v>4678</v>
      </c>
      <c r="C4211" t="str">
        <f>"230302198605125323"</f>
        <v>230302198605125323</v>
      </c>
      <c r="D4211" t="str">
        <f>"248030203611"</f>
        <v>248030203611</v>
      </c>
      <c r="L4211">
        <v>5479</v>
      </c>
      <c r="M4211" t="s">
        <v>4678</v>
      </c>
      <c r="N4211" t="str">
        <f>"248030203611"</f>
        <v>248030203611</v>
      </c>
      <c r="O4211" t="str">
        <f>"230302198605125323"</f>
        <v>230302198605125323</v>
      </c>
    </row>
    <row r="4212" customFormat="1" spans="1:15">
      <c r="A4212">
        <v>5480</v>
      </c>
      <c r="B4212" t="s">
        <v>4679</v>
      </c>
      <c r="C4212" t="str">
        <f>"460025199802270322"</f>
        <v>460025199802270322</v>
      </c>
      <c r="D4212" t="str">
        <f>"248030400212"</f>
        <v>248030400212</v>
      </c>
      <c r="L4212">
        <v>5480</v>
      </c>
      <c r="M4212" t="s">
        <v>4679</v>
      </c>
      <c r="N4212" t="str">
        <f>"248030400212"</f>
        <v>248030400212</v>
      </c>
      <c r="O4212" t="str">
        <f>"460025199802270322"</f>
        <v>460025199802270322</v>
      </c>
    </row>
    <row r="4213" customFormat="1" spans="1:15">
      <c r="A4213">
        <v>5482</v>
      </c>
      <c r="B4213" t="s">
        <v>4680</v>
      </c>
      <c r="C4213" t="str">
        <f>"460033198412013238"</f>
        <v>460033198412013238</v>
      </c>
      <c r="D4213" t="str">
        <f>"248030301708"</f>
        <v>248030301708</v>
      </c>
      <c r="L4213">
        <v>5482</v>
      </c>
      <c r="M4213" t="s">
        <v>4680</v>
      </c>
      <c r="N4213" t="str">
        <f>"248030301708"</f>
        <v>248030301708</v>
      </c>
      <c r="O4213" t="str">
        <f>"460033198412013238"</f>
        <v>460033198412013238</v>
      </c>
    </row>
    <row r="4214" customFormat="1" spans="1:15">
      <c r="A4214">
        <v>5483</v>
      </c>
      <c r="B4214" t="s">
        <v>4681</v>
      </c>
      <c r="C4214" t="str">
        <f>"460103199506031228"</f>
        <v>460103199506031228</v>
      </c>
      <c r="D4214" t="str">
        <f>"248030502425"</f>
        <v>248030502425</v>
      </c>
      <c r="L4214">
        <v>5483</v>
      </c>
      <c r="M4214" t="s">
        <v>4681</v>
      </c>
      <c r="N4214" t="str">
        <f>"248030502425"</f>
        <v>248030502425</v>
      </c>
      <c r="O4214" t="str">
        <f>"460103199506031228"</f>
        <v>460103199506031228</v>
      </c>
    </row>
    <row r="4215" customFormat="1" spans="1:15">
      <c r="A4215">
        <v>5484</v>
      </c>
      <c r="B4215" t="s">
        <v>4682</v>
      </c>
      <c r="C4215" t="str">
        <f>"440883200010191422"</f>
        <v>440883200010191422</v>
      </c>
      <c r="D4215" t="str">
        <f>"248030502830"</f>
        <v>248030502830</v>
      </c>
      <c r="L4215">
        <v>5484</v>
      </c>
      <c r="M4215" t="s">
        <v>4682</v>
      </c>
      <c r="N4215" t="str">
        <f>"248030502830"</f>
        <v>248030502830</v>
      </c>
      <c r="O4215" t="str">
        <f>"440883200010191422"</f>
        <v>440883200010191422</v>
      </c>
    </row>
    <row r="4216" customFormat="1" spans="1:15">
      <c r="A4216">
        <v>5485</v>
      </c>
      <c r="B4216" t="s">
        <v>4683</v>
      </c>
      <c r="C4216" t="str">
        <f>"46002219940112232X"</f>
        <v>46002219940112232X</v>
      </c>
      <c r="L4216">
        <v>5485</v>
      </c>
      <c r="M4216" t="s">
        <v>4683</v>
      </c>
      <c r="O4216" t="str">
        <f>"46002219940112232X"</f>
        <v>46002219940112232X</v>
      </c>
    </row>
    <row r="4217" customFormat="1" spans="1:15">
      <c r="A4217">
        <v>5486</v>
      </c>
      <c r="B4217" t="s">
        <v>4684</v>
      </c>
      <c r="C4217" t="str">
        <f>"46002719970526234X"</f>
        <v>46002719970526234X</v>
      </c>
      <c r="D4217" t="str">
        <f>"248030402119"</f>
        <v>248030402119</v>
      </c>
      <c r="L4217">
        <v>5486</v>
      </c>
      <c r="M4217" t="s">
        <v>4684</v>
      </c>
      <c r="N4217" t="str">
        <f>"248030402119"</f>
        <v>248030402119</v>
      </c>
      <c r="O4217" t="str">
        <f>"46002719970526234X"</f>
        <v>46002719970526234X</v>
      </c>
    </row>
    <row r="4218" customFormat="1" spans="1:15">
      <c r="A4218">
        <v>5487</v>
      </c>
      <c r="B4218" t="s">
        <v>4685</v>
      </c>
      <c r="C4218" t="str">
        <f>"445122200111040029"</f>
        <v>445122200111040029</v>
      </c>
      <c r="D4218" t="str">
        <f>"248030302420"</f>
        <v>248030302420</v>
      </c>
      <c r="L4218">
        <v>5487</v>
      </c>
      <c r="M4218" t="s">
        <v>4685</v>
      </c>
      <c r="N4218" t="str">
        <f>"248030302420"</f>
        <v>248030302420</v>
      </c>
      <c r="O4218" t="str">
        <f>"445122200111040029"</f>
        <v>445122200111040029</v>
      </c>
    </row>
    <row r="4219" customFormat="1" spans="1:15">
      <c r="A4219">
        <v>5489</v>
      </c>
      <c r="B4219" t="s">
        <v>4686</v>
      </c>
      <c r="C4219" t="str">
        <f>"413026199504017302"</f>
        <v>413026199504017302</v>
      </c>
      <c r="L4219">
        <v>5489</v>
      </c>
      <c r="M4219" t="s">
        <v>4686</v>
      </c>
      <c r="O4219" t="str">
        <f>"413026199504017302"</f>
        <v>413026199504017302</v>
      </c>
    </row>
    <row r="4220" customFormat="1" spans="1:15">
      <c r="A4220">
        <v>5490</v>
      </c>
      <c r="B4220" t="s">
        <v>4687</v>
      </c>
      <c r="C4220" t="str">
        <f>"460003199901015644"</f>
        <v>460003199901015644</v>
      </c>
      <c r="D4220" t="str">
        <f>"248030100209"</f>
        <v>248030100209</v>
      </c>
      <c r="L4220">
        <v>5490</v>
      </c>
      <c r="M4220" t="s">
        <v>4687</v>
      </c>
      <c r="N4220" t="str">
        <f>"248030100209"</f>
        <v>248030100209</v>
      </c>
      <c r="O4220" t="str">
        <f>"460003199901015644"</f>
        <v>460003199901015644</v>
      </c>
    </row>
    <row r="4221" customFormat="1" spans="1:15">
      <c r="A4221">
        <v>5491</v>
      </c>
      <c r="B4221" t="s">
        <v>4688</v>
      </c>
      <c r="C4221" t="str">
        <f>"460030199508126320"</f>
        <v>460030199508126320</v>
      </c>
      <c r="D4221" t="str">
        <f>"248030501311"</f>
        <v>248030501311</v>
      </c>
      <c r="L4221">
        <v>5491</v>
      </c>
      <c r="M4221" t="s">
        <v>4688</v>
      </c>
      <c r="N4221" t="str">
        <f>"248030501311"</f>
        <v>248030501311</v>
      </c>
      <c r="O4221" t="str">
        <f>"460030199508126320"</f>
        <v>460030199508126320</v>
      </c>
    </row>
    <row r="4222" customFormat="1" spans="1:15">
      <c r="A4222">
        <v>5493</v>
      </c>
      <c r="B4222" t="s">
        <v>4689</v>
      </c>
      <c r="C4222" t="str">
        <f>"469007200006087288"</f>
        <v>469007200006087288</v>
      </c>
      <c r="D4222" t="str">
        <f>"248030301001"</f>
        <v>248030301001</v>
      </c>
      <c r="L4222">
        <v>5493</v>
      </c>
      <c r="M4222" t="s">
        <v>4689</v>
      </c>
      <c r="N4222" t="str">
        <f>"248030301001"</f>
        <v>248030301001</v>
      </c>
      <c r="O4222" t="str">
        <f>"469007200006087288"</f>
        <v>469007200006087288</v>
      </c>
    </row>
    <row r="4223" customFormat="1" spans="1:15">
      <c r="A4223">
        <v>5494</v>
      </c>
      <c r="B4223" t="s">
        <v>4690</v>
      </c>
      <c r="C4223" t="str">
        <f>"460200199105041202"</f>
        <v>460200199105041202</v>
      </c>
      <c r="D4223" t="str">
        <f>"248030302325"</f>
        <v>248030302325</v>
      </c>
      <c r="L4223">
        <v>5494</v>
      </c>
      <c r="M4223" t="s">
        <v>4690</v>
      </c>
      <c r="N4223" t="str">
        <f>"248030302325"</f>
        <v>248030302325</v>
      </c>
      <c r="O4223" t="str">
        <f>"460200199105041202"</f>
        <v>460200199105041202</v>
      </c>
    </row>
    <row r="4224" customFormat="1" spans="1:15">
      <c r="A4224">
        <v>5495</v>
      </c>
      <c r="B4224" t="s">
        <v>4691</v>
      </c>
      <c r="C4224" t="str">
        <f>"460001200011051718"</f>
        <v>460001200011051718</v>
      </c>
      <c r="D4224" t="str">
        <f>"248030400525"</f>
        <v>248030400525</v>
      </c>
      <c r="L4224">
        <v>5495</v>
      </c>
      <c r="M4224" t="s">
        <v>4691</v>
      </c>
      <c r="N4224" t="str">
        <f>"248030400525"</f>
        <v>248030400525</v>
      </c>
      <c r="O4224" t="str">
        <f>"460001200011051718"</f>
        <v>460001200011051718</v>
      </c>
    </row>
    <row r="4225" customFormat="1" spans="1:15">
      <c r="A4225">
        <v>5500</v>
      </c>
      <c r="B4225" t="s">
        <v>4692</v>
      </c>
      <c r="C4225" t="str">
        <f>"44082520020120216X"</f>
        <v>44082520020120216X</v>
      </c>
      <c r="D4225" t="str">
        <f>"248030202504"</f>
        <v>248030202504</v>
      </c>
      <c r="L4225">
        <v>5500</v>
      </c>
      <c r="M4225" t="s">
        <v>4692</v>
      </c>
      <c r="N4225" t="str">
        <f>"248030202504"</f>
        <v>248030202504</v>
      </c>
      <c r="O4225" t="str">
        <f>"44082520020120216X"</f>
        <v>44082520020120216X</v>
      </c>
    </row>
    <row r="4226" customFormat="1" spans="1:15">
      <c r="A4226">
        <v>5501</v>
      </c>
      <c r="B4226" t="s">
        <v>4693</v>
      </c>
      <c r="C4226" t="str">
        <f>"460004200003263410"</f>
        <v>460004200003263410</v>
      </c>
      <c r="D4226" t="str">
        <f>"248030202630"</f>
        <v>248030202630</v>
      </c>
      <c r="L4226">
        <v>5501</v>
      </c>
      <c r="M4226" t="s">
        <v>4693</v>
      </c>
      <c r="N4226" t="str">
        <f>"248030202630"</f>
        <v>248030202630</v>
      </c>
      <c r="O4226" t="str">
        <f>"460004200003263410"</f>
        <v>460004200003263410</v>
      </c>
    </row>
    <row r="4227" customFormat="1" spans="1:15">
      <c r="A4227">
        <v>5502</v>
      </c>
      <c r="B4227" t="s">
        <v>4694</v>
      </c>
      <c r="C4227" t="str">
        <f>"460028199304070028"</f>
        <v>460028199304070028</v>
      </c>
      <c r="D4227" t="str">
        <f>"248030101811"</f>
        <v>248030101811</v>
      </c>
      <c r="L4227">
        <v>5502</v>
      </c>
      <c r="M4227" t="s">
        <v>4694</v>
      </c>
      <c r="N4227" t="str">
        <f>"248030101811"</f>
        <v>248030101811</v>
      </c>
      <c r="O4227" t="str">
        <f>"460028199304070028"</f>
        <v>460028199304070028</v>
      </c>
    </row>
    <row r="4228" customFormat="1" spans="1:15">
      <c r="A4228">
        <v>5503</v>
      </c>
      <c r="B4228" t="s">
        <v>4695</v>
      </c>
      <c r="C4228" t="str">
        <f>"460007199801033867"</f>
        <v>460007199801033867</v>
      </c>
      <c r="D4228" t="str">
        <f>"248030502430"</f>
        <v>248030502430</v>
      </c>
      <c r="L4228">
        <v>5503</v>
      </c>
      <c r="M4228" t="s">
        <v>4695</v>
      </c>
      <c r="N4228" t="str">
        <f>"248030502430"</f>
        <v>248030502430</v>
      </c>
      <c r="O4228" t="str">
        <f>"460007199801033867"</f>
        <v>460007199801033867</v>
      </c>
    </row>
    <row r="4229" customFormat="1" spans="1:15">
      <c r="A4229">
        <v>5506</v>
      </c>
      <c r="B4229" t="s">
        <v>4696</v>
      </c>
      <c r="C4229" t="str">
        <f>"460102198411011848"</f>
        <v>460102198411011848</v>
      </c>
      <c r="D4229" t="str">
        <f>"248030200314"</f>
        <v>248030200314</v>
      </c>
      <c r="L4229">
        <v>5506</v>
      </c>
      <c r="M4229" t="s">
        <v>4696</v>
      </c>
      <c r="N4229" t="str">
        <f>"248030200314"</f>
        <v>248030200314</v>
      </c>
      <c r="O4229" t="str">
        <f>"460102198411011848"</f>
        <v>460102198411011848</v>
      </c>
    </row>
    <row r="4230" customFormat="1" spans="1:15">
      <c r="A4230">
        <v>5508</v>
      </c>
      <c r="B4230" t="s">
        <v>4697</v>
      </c>
      <c r="C4230" t="str">
        <f>"341623200209141529"</f>
        <v>341623200209141529</v>
      </c>
      <c r="D4230" t="str">
        <f>"248030400427"</f>
        <v>248030400427</v>
      </c>
      <c r="L4230">
        <v>5508</v>
      </c>
      <c r="M4230" t="s">
        <v>4697</v>
      </c>
      <c r="N4230" t="str">
        <f>"248030400427"</f>
        <v>248030400427</v>
      </c>
      <c r="O4230" t="str">
        <f>"341623200209141529"</f>
        <v>341623200209141529</v>
      </c>
    </row>
    <row r="4231" customFormat="1" spans="1:15">
      <c r="A4231">
        <v>5509</v>
      </c>
      <c r="B4231" t="s">
        <v>4698</v>
      </c>
      <c r="C4231" t="str">
        <f>"46000719961225656X"</f>
        <v>46000719961225656X</v>
      </c>
      <c r="D4231" t="str">
        <f>"248030101330"</f>
        <v>248030101330</v>
      </c>
      <c r="L4231">
        <v>5509</v>
      </c>
      <c r="M4231" t="s">
        <v>4698</v>
      </c>
      <c r="N4231" t="str">
        <f>"248030101330"</f>
        <v>248030101330</v>
      </c>
      <c r="O4231" t="str">
        <f>"46000719961225656X"</f>
        <v>46000719961225656X</v>
      </c>
    </row>
    <row r="4232" customFormat="1" spans="1:15">
      <c r="A4232">
        <v>5510</v>
      </c>
      <c r="B4232" t="s">
        <v>4699</v>
      </c>
      <c r="C4232" t="str">
        <f>"460026199603133620"</f>
        <v>460026199603133620</v>
      </c>
      <c r="D4232" t="str">
        <f>"248030101619"</f>
        <v>248030101619</v>
      </c>
      <c r="L4232">
        <v>5510</v>
      </c>
      <c r="M4232" t="s">
        <v>4699</v>
      </c>
      <c r="N4232" t="str">
        <f>"248030101619"</f>
        <v>248030101619</v>
      </c>
      <c r="O4232" t="str">
        <f>"460026199603133620"</f>
        <v>460026199603133620</v>
      </c>
    </row>
    <row r="4233" customFormat="1" spans="1:15">
      <c r="A4233">
        <v>5511</v>
      </c>
      <c r="B4233" t="s">
        <v>4700</v>
      </c>
      <c r="C4233" t="str">
        <f>"430602199612221100"</f>
        <v>430602199612221100</v>
      </c>
      <c r="L4233">
        <v>5511</v>
      </c>
      <c r="M4233" t="s">
        <v>4700</v>
      </c>
      <c r="O4233" t="str">
        <f>"430602199612221100"</f>
        <v>430602199612221100</v>
      </c>
    </row>
    <row r="4234" customFormat="1" spans="1:15">
      <c r="A4234">
        <v>5512</v>
      </c>
      <c r="B4234" t="s">
        <v>4701</v>
      </c>
      <c r="C4234" t="str">
        <f>"46002819910805002X"</f>
        <v>46002819910805002X</v>
      </c>
      <c r="L4234">
        <v>5512</v>
      </c>
      <c r="M4234" t="s">
        <v>4701</v>
      </c>
      <c r="O4234" t="str">
        <f>"46002819910805002X"</f>
        <v>46002819910805002X</v>
      </c>
    </row>
    <row r="4235" customFormat="1" spans="1:15">
      <c r="A4235">
        <v>5514</v>
      </c>
      <c r="B4235" t="s">
        <v>4702</v>
      </c>
      <c r="C4235" t="str">
        <f>"469021200109213336"</f>
        <v>469021200109213336</v>
      </c>
      <c r="D4235" t="str">
        <f>"248030301928"</f>
        <v>248030301928</v>
      </c>
      <c r="L4235">
        <v>5514</v>
      </c>
      <c r="M4235" t="s">
        <v>4702</v>
      </c>
      <c r="N4235" t="str">
        <f>"248030301928"</f>
        <v>248030301928</v>
      </c>
      <c r="O4235" t="str">
        <f>"469021200109213336"</f>
        <v>469021200109213336</v>
      </c>
    </row>
    <row r="4236" customFormat="1" spans="1:15">
      <c r="A4236">
        <v>5515</v>
      </c>
      <c r="B4236" t="s">
        <v>4703</v>
      </c>
      <c r="C4236" t="str">
        <f>"431321199806044601"</f>
        <v>431321199806044601</v>
      </c>
      <c r="D4236" t="str">
        <f>"248030302706"</f>
        <v>248030302706</v>
      </c>
      <c r="L4236">
        <v>5515</v>
      </c>
      <c r="M4236" t="s">
        <v>4703</v>
      </c>
      <c r="N4236" t="str">
        <f>"248030302706"</f>
        <v>248030302706</v>
      </c>
      <c r="O4236" t="str">
        <f>"431321199806044601"</f>
        <v>431321199806044601</v>
      </c>
    </row>
    <row r="4237" customFormat="1" spans="1:15">
      <c r="A4237">
        <v>5516</v>
      </c>
      <c r="B4237" t="s">
        <v>4704</v>
      </c>
      <c r="C4237" t="str">
        <f>"460030199607190029"</f>
        <v>460030199607190029</v>
      </c>
      <c r="D4237" t="str">
        <f>"248030501125"</f>
        <v>248030501125</v>
      </c>
      <c r="L4237">
        <v>5516</v>
      </c>
      <c r="M4237" t="s">
        <v>4704</v>
      </c>
      <c r="N4237" t="str">
        <f>"248030501125"</f>
        <v>248030501125</v>
      </c>
      <c r="O4237" t="str">
        <f>"460030199607190029"</f>
        <v>460030199607190029</v>
      </c>
    </row>
    <row r="4238" customFormat="1" spans="1:15">
      <c r="A4238">
        <v>5517</v>
      </c>
      <c r="B4238" t="s">
        <v>4705</v>
      </c>
      <c r="C4238" t="str">
        <f>"460103200002070624"</f>
        <v>460103200002070624</v>
      </c>
      <c r="D4238" t="str">
        <f>"248030401330"</f>
        <v>248030401330</v>
      </c>
      <c r="L4238">
        <v>5517</v>
      </c>
      <c r="M4238" t="s">
        <v>4705</v>
      </c>
      <c r="N4238" t="str">
        <f>"248030401330"</f>
        <v>248030401330</v>
      </c>
      <c r="O4238" t="str">
        <f>"460103200002070624"</f>
        <v>460103200002070624</v>
      </c>
    </row>
    <row r="4239" customFormat="1" spans="1:15">
      <c r="A4239">
        <v>5518</v>
      </c>
      <c r="B4239" t="s">
        <v>4706</v>
      </c>
      <c r="C4239" t="str">
        <f>"460003200003052860"</f>
        <v>460003200003052860</v>
      </c>
      <c r="L4239">
        <v>5518</v>
      </c>
      <c r="M4239" t="s">
        <v>4706</v>
      </c>
      <c r="O4239" t="str">
        <f>"460003200003052860"</f>
        <v>460003200003052860</v>
      </c>
    </row>
    <row r="4240" customFormat="1" spans="1:15">
      <c r="A4240">
        <v>5519</v>
      </c>
      <c r="B4240" t="s">
        <v>4707</v>
      </c>
      <c r="C4240" t="str">
        <f>"46000219980814252X"</f>
        <v>46000219980814252X</v>
      </c>
      <c r="D4240" t="str">
        <f>"248030104119"</f>
        <v>248030104119</v>
      </c>
      <c r="L4240">
        <v>5519</v>
      </c>
      <c r="M4240" t="s">
        <v>4707</v>
      </c>
      <c r="N4240" t="str">
        <f>"248030104119"</f>
        <v>248030104119</v>
      </c>
      <c r="O4240" t="str">
        <f>"46000219980814252X"</f>
        <v>46000219980814252X</v>
      </c>
    </row>
    <row r="4241" customFormat="1" spans="1:15">
      <c r="A4241">
        <v>5520</v>
      </c>
      <c r="B4241" t="s">
        <v>4708</v>
      </c>
      <c r="C4241" t="str">
        <f>"500240199812132166"</f>
        <v>500240199812132166</v>
      </c>
      <c r="L4241">
        <v>5520</v>
      </c>
      <c r="M4241" t="s">
        <v>4708</v>
      </c>
      <c r="O4241" t="str">
        <f>"500240199812132166"</f>
        <v>500240199812132166</v>
      </c>
    </row>
    <row r="4242" customFormat="1" spans="1:15">
      <c r="A4242">
        <v>5521</v>
      </c>
      <c r="B4242" t="s">
        <v>4709</v>
      </c>
      <c r="C4242" t="str">
        <f>"460028200001256824"</f>
        <v>460028200001256824</v>
      </c>
      <c r="D4242" t="str">
        <f>"248030302412"</f>
        <v>248030302412</v>
      </c>
      <c r="L4242">
        <v>5521</v>
      </c>
      <c r="M4242" t="s">
        <v>4709</v>
      </c>
      <c r="N4242" t="str">
        <f>"248030302412"</f>
        <v>248030302412</v>
      </c>
      <c r="O4242" t="str">
        <f>"460028200001256824"</f>
        <v>460028200001256824</v>
      </c>
    </row>
    <row r="4243" customFormat="1" spans="1:15">
      <c r="A4243">
        <v>5522</v>
      </c>
      <c r="B4243" t="s">
        <v>4710</v>
      </c>
      <c r="C4243" t="str">
        <f>"460006200204132049"</f>
        <v>460006200204132049</v>
      </c>
      <c r="D4243" t="str">
        <f>"248030400822"</f>
        <v>248030400822</v>
      </c>
      <c r="L4243">
        <v>5522</v>
      </c>
      <c r="M4243" t="s">
        <v>4710</v>
      </c>
      <c r="N4243" t="str">
        <f>"248030400822"</f>
        <v>248030400822</v>
      </c>
      <c r="O4243" t="str">
        <f>"460006200204132049"</f>
        <v>460006200204132049</v>
      </c>
    </row>
    <row r="4244" customFormat="1" spans="1:15">
      <c r="A4244">
        <v>5523</v>
      </c>
      <c r="B4244" t="s">
        <v>568</v>
      </c>
      <c r="C4244" t="str">
        <f>"460004199501030825"</f>
        <v>460004199501030825</v>
      </c>
      <c r="D4244" t="str">
        <f>"248030302707"</f>
        <v>248030302707</v>
      </c>
      <c r="L4244">
        <v>5523</v>
      </c>
      <c r="M4244" t="s">
        <v>568</v>
      </c>
      <c r="N4244" t="str">
        <f>"248030302707"</f>
        <v>248030302707</v>
      </c>
      <c r="O4244" t="str">
        <f>"460004199501030825"</f>
        <v>460004199501030825</v>
      </c>
    </row>
    <row r="4245" customFormat="1" spans="1:15">
      <c r="A4245">
        <v>5524</v>
      </c>
      <c r="B4245" t="s">
        <v>4711</v>
      </c>
      <c r="C4245" t="str">
        <f>"460007199408094989"</f>
        <v>460007199408094989</v>
      </c>
      <c r="L4245">
        <v>5524</v>
      </c>
      <c r="M4245" t="s">
        <v>4711</v>
      </c>
      <c r="O4245" t="str">
        <f>"460007199408094989"</f>
        <v>460007199408094989</v>
      </c>
    </row>
    <row r="4246" customFormat="1" spans="1:15">
      <c r="A4246">
        <v>5525</v>
      </c>
      <c r="B4246" t="s">
        <v>4712</v>
      </c>
      <c r="C4246" t="str">
        <f>"440923199412120321"</f>
        <v>440923199412120321</v>
      </c>
      <c r="D4246" t="str">
        <f>"248030501623"</f>
        <v>248030501623</v>
      </c>
      <c r="L4246">
        <v>5525</v>
      </c>
      <c r="M4246" t="s">
        <v>4712</v>
      </c>
      <c r="N4246" t="str">
        <f>"248030501623"</f>
        <v>248030501623</v>
      </c>
      <c r="O4246" t="str">
        <f>"440923199412120321"</f>
        <v>440923199412120321</v>
      </c>
    </row>
    <row r="4247" customFormat="1" spans="1:15">
      <c r="A4247">
        <v>5526</v>
      </c>
      <c r="B4247" t="s">
        <v>4713</v>
      </c>
      <c r="C4247" t="str">
        <f>"511381200107290020"</f>
        <v>511381200107290020</v>
      </c>
      <c r="D4247" t="str">
        <f>"248030104721"</f>
        <v>248030104721</v>
      </c>
      <c r="L4247">
        <v>5526</v>
      </c>
      <c r="M4247" t="s">
        <v>4713</v>
      </c>
      <c r="N4247" t="str">
        <f>"248030104721"</f>
        <v>248030104721</v>
      </c>
      <c r="O4247" t="str">
        <f>"511381200107290020"</f>
        <v>511381200107290020</v>
      </c>
    </row>
    <row r="4248" customFormat="1" spans="1:15">
      <c r="A4248">
        <v>5527</v>
      </c>
      <c r="B4248" t="s">
        <v>4714</v>
      </c>
      <c r="C4248" t="str">
        <f>"460003200104153249"</f>
        <v>460003200104153249</v>
      </c>
      <c r="D4248" t="str">
        <f>"248030403624"</f>
        <v>248030403624</v>
      </c>
      <c r="L4248">
        <v>5527</v>
      </c>
      <c r="M4248" t="s">
        <v>4714</v>
      </c>
      <c r="N4248" t="str">
        <f>"248030403624"</f>
        <v>248030403624</v>
      </c>
      <c r="O4248" t="str">
        <f>"460003200104153249"</f>
        <v>460003200104153249</v>
      </c>
    </row>
    <row r="4249" customFormat="1" spans="1:15">
      <c r="A4249">
        <v>5528</v>
      </c>
      <c r="B4249" t="s">
        <v>4715</v>
      </c>
      <c r="C4249" t="str">
        <f>"46020019940911292X"</f>
        <v>46020019940911292X</v>
      </c>
      <c r="L4249">
        <v>5528</v>
      </c>
      <c r="M4249" t="s">
        <v>4715</v>
      </c>
      <c r="O4249" t="str">
        <f>"46020019940911292X"</f>
        <v>46020019940911292X</v>
      </c>
    </row>
    <row r="4250" customFormat="1" spans="1:15">
      <c r="A4250">
        <v>5529</v>
      </c>
      <c r="B4250" t="s">
        <v>292</v>
      </c>
      <c r="C4250" t="str">
        <f>"460104199611220027"</f>
        <v>460104199611220027</v>
      </c>
      <c r="D4250" t="str">
        <f>"248030300923"</f>
        <v>248030300923</v>
      </c>
      <c r="L4250">
        <v>5529</v>
      </c>
      <c r="M4250" t="s">
        <v>292</v>
      </c>
      <c r="N4250" t="str">
        <f>"248030300923"</f>
        <v>248030300923</v>
      </c>
      <c r="O4250" t="str">
        <f>"460104199611220027"</f>
        <v>460104199611220027</v>
      </c>
    </row>
    <row r="4251" customFormat="1" spans="1:15">
      <c r="A4251">
        <v>5530</v>
      </c>
      <c r="B4251" t="s">
        <v>4716</v>
      </c>
      <c r="C4251" t="str">
        <f>"460003199511045864"</f>
        <v>460003199511045864</v>
      </c>
      <c r="D4251" t="str">
        <f>"248030500921"</f>
        <v>248030500921</v>
      </c>
      <c r="L4251">
        <v>5530</v>
      </c>
      <c r="M4251" t="s">
        <v>4716</v>
      </c>
      <c r="N4251" t="str">
        <f>"248030500921"</f>
        <v>248030500921</v>
      </c>
      <c r="O4251" t="str">
        <f>"460003199511045864"</f>
        <v>460003199511045864</v>
      </c>
    </row>
    <row r="4252" customFormat="1" spans="1:15">
      <c r="A4252">
        <v>5531</v>
      </c>
      <c r="B4252" t="s">
        <v>4717</v>
      </c>
      <c r="C4252" t="str">
        <f>"460005199808165122"</f>
        <v>460005199808165122</v>
      </c>
      <c r="D4252" t="str">
        <f>"248030500924"</f>
        <v>248030500924</v>
      </c>
      <c r="L4252">
        <v>5531</v>
      </c>
      <c r="M4252" t="s">
        <v>4717</v>
      </c>
      <c r="N4252" t="str">
        <f>"248030500924"</f>
        <v>248030500924</v>
      </c>
      <c r="O4252" t="str">
        <f>"460005199808165122"</f>
        <v>460005199808165122</v>
      </c>
    </row>
    <row r="4253" customFormat="1" spans="1:15">
      <c r="A4253">
        <v>5532</v>
      </c>
      <c r="B4253" t="s">
        <v>4718</v>
      </c>
      <c r="C4253" t="str">
        <f>"460006199501066820"</f>
        <v>460006199501066820</v>
      </c>
      <c r="D4253" t="str">
        <f>"248030203113"</f>
        <v>248030203113</v>
      </c>
      <c r="L4253">
        <v>5532</v>
      </c>
      <c r="M4253" t="s">
        <v>4718</v>
      </c>
      <c r="N4253" t="str">
        <f>"248030203113"</f>
        <v>248030203113</v>
      </c>
      <c r="O4253" t="str">
        <f>"460006199501066820"</f>
        <v>460006199501066820</v>
      </c>
    </row>
    <row r="4254" customFormat="1" spans="1:15">
      <c r="A4254">
        <v>5533</v>
      </c>
      <c r="B4254" t="s">
        <v>4719</v>
      </c>
      <c r="C4254" t="str">
        <f>"460300199503290322"</f>
        <v>460300199503290322</v>
      </c>
      <c r="D4254" t="str">
        <f>"248030101129"</f>
        <v>248030101129</v>
      </c>
      <c r="L4254">
        <v>5533</v>
      </c>
      <c r="M4254" t="s">
        <v>4719</v>
      </c>
      <c r="N4254" t="str">
        <f>"248030101129"</f>
        <v>248030101129</v>
      </c>
      <c r="O4254" t="str">
        <f>"460300199503290322"</f>
        <v>460300199503290322</v>
      </c>
    </row>
    <row r="4255" customFormat="1" spans="1:15">
      <c r="A4255">
        <v>5534</v>
      </c>
      <c r="B4255" t="s">
        <v>4720</v>
      </c>
      <c r="C4255" t="str">
        <f>"460102199901110624"</f>
        <v>460102199901110624</v>
      </c>
      <c r="D4255" t="str">
        <f>"248030101830"</f>
        <v>248030101830</v>
      </c>
      <c r="L4255">
        <v>5534</v>
      </c>
      <c r="M4255" t="s">
        <v>4720</v>
      </c>
      <c r="N4255" t="str">
        <f>"248030101830"</f>
        <v>248030101830</v>
      </c>
      <c r="O4255" t="str">
        <f>"460102199901110624"</f>
        <v>460102199901110624</v>
      </c>
    </row>
    <row r="4256" customFormat="1" spans="1:15">
      <c r="A4256">
        <v>5535</v>
      </c>
      <c r="B4256" t="s">
        <v>4721</v>
      </c>
      <c r="C4256" t="str">
        <f>"450702199704019021"</f>
        <v>450702199704019021</v>
      </c>
      <c r="D4256" t="str">
        <f>"248030400701"</f>
        <v>248030400701</v>
      </c>
      <c r="L4256">
        <v>5535</v>
      </c>
      <c r="M4256" t="s">
        <v>4721</v>
      </c>
      <c r="N4256" t="str">
        <f>"248030400701"</f>
        <v>248030400701</v>
      </c>
      <c r="O4256" t="str">
        <f>"450702199704019021"</f>
        <v>450702199704019021</v>
      </c>
    </row>
    <row r="4257" customFormat="1" spans="1:15">
      <c r="A4257">
        <v>5536</v>
      </c>
      <c r="B4257" t="s">
        <v>4722</v>
      </c>
      <c r="C4257" t="str">
        <f>"469003200111185028"</f>
        <v>469003200111185028</v>
      </c>
      <c r="D4257" t="str">
        <f>"248030102608"</f>
        <v>248030102608</v>
      </c>
      <c r="L4257">
        <v>5536</v>
      </c>
      <c r="M4257" t="s">
        <v>4722</v>
      </c>
      <c r="N4257" t="str">
        <f>"248030102608"</f>
        <v>248030102608</v>
      </c>
      <c r="O4257" t="str">
        <f>"469003200111185028"</f>
        <v>469003200111185028</v>
      </c>
    </row>
    <row r="4258" customFormat="1" spans="1:15">
      <c r="A4258">
        <v>5537</v>
      </c>
      <c r="B4258" t="s">
        <v>4723</v>
      </c>
      <c r="C4258" t="str">
        <f>"460004200003154425"</f>
        <v>460004200003154425</v>
      </c>
      <c r="L4258">
        <v>5537</v>
      </c>
      <c r="M4258" t="s">
        <v>4723</v>
      </c>
      <c r="O4258" t="str">
        <f>"460004200003154425"</f>
        <v>460004200003154425</v>
      </c>
    </row>
    <row r="4259" customFormat="1" spans="1:15">
      <c r="A4259">
        <v>5539</v>
      </c>
      <c r="B4259" t="s">
        <v>4724</v>
      </c>
      <c r="C4259" t="str">
        <f>"460033199610263267"</f>
        <v>460033199610263267</v>
      </c>
      <c r="D4259" t="str">
        <f>"248030500928"</f>
        <v>248030500928</v>
      </c>
      <c r="L4259">
        <v>5539</v>
      </c>
      <c r="M4259" t="s">
        <v>4724</v>
      </c>
      <c r="N4259" t="str">
        <f>"248030500928"</f>
        <v>248030500928</v>
      </c>
      <c r="O4259" t="str">
        <f>"460033199610263267"</f>
        <v>460033199610263267</v>
      </c>
    </row>
    <row r="4260" customFormat="1" spans="1:15">
      <c r="A4260">
        <v>5540</v>
      </c>
      <c r="B4260" t="s">
        <v>339</v>
      </c>
      <c r="C4260" t="str">
        <f>"469007199504124963"</f>
        <v>469007199504124963</v>
      </c>
      <c r="D4260" t="str">
        <f>"248030402006"</f>
        <v>248030402006</v>
      </c>
      <c r="L4260">
        <v>5540</v>
      </c>
      <c r="M4260" t="s">
        <v>339</v>
      </c>
      <c r="N4260" t="str">
        <f>"248030402006"</f>
        <v>248030402006</v>
      </c>
      <c r="O4260" t="str">
        <f>"469007199504124963"</f>
        <v>469007199504124963</v>
      </c>
    </row>
    <row r="4261" customFormat="1" spans="1:15">
      <c r="A4261">
        <v>5542</v>
      </c>
      <c r="B4261" t="s">
        <v>4725</v>
      </c>
      <c r="C4261" t="str">
        <f>"460004200004126426"</f>
        <v>460004200004126426</v>
      </c>
      <c r="D4261" t="str">
        <f>"248030102309"</f>
        <v>248030102309</v>
      </c>
      <c r="L4261">
        <v>5542</v>
      </c>
      <c r="M4261" t="s">
        <v>4725</v>
      </c>
      <c r="N4261" t="str">
        <f>"248030102309"</f>
        <v>248030102309</v>
      </c>
      <c r="O4261" t="str">
        <f>"460004200004126426"</f>
        <v>460004200004126426</v>
      </c>
    </row>
    <row r="4262" customFormat="1" spans="1:15">
      <c r="A4262">
        <v>5543</v>
      </c>
      <c r="B4262" t="s">
        <v>4726</v>
      </c>
      <c r="C4262" t="str">
        <f>"460033200209053226"</f>
        <v>460033200209053226</v>
      </c>
      <c r="D4262" t="str">
        <f>"248030500806"</f>
        <v>248030500806</v>
      </c>
      <c r="L4262">
        <v>5543</v>
      </c>
      <c r="M4262" t="s">
        <v>4726</v>
      </c>
      <c r="N4262" t="str">
        <f>"248030500806"</f>
        <v>248030500806</v>
      </c>
      <c r="O4262" t="str">
        <f>"460033200209053226"</f>
        <v>460033200209053226</v>
      </c>
    </row>
    <row r="4263" customFormat="1" spans="1:15">
      <c r="A4263">
        <v>5544</v>
      </c>
      <c r="B4263" t="s">
        <v>4727</v>
      </c>
      <c r="C4263" t="str">
        <f>"460028199910160824"</f>
        <v>460028199910160824</v>
      </c>
      <c r="D4263" t="str">
        <f>"248030500730"</f>
        <v>248030500730</v>
      </c>
      <c r="L4263">
        <v>5544</v>
      </c>
      <c r="M4263" t="s">
        <v>4727</v>
      </c>
      <c r="N4263" t="str">
        <f>"248030500730"</f>
        <v>248030500730</v>
      </c>
      <c r="O4263" t="str">
        <f>"460028199910160824"</f>
        <v>460028199910160824</v>
      </c>
    </row>
    <row r="4264" customFormat="1" spans="1:15">
      <c r="A4264">
        <v>5545</v>
      </c>
      <c r="B4264" t="s">
        <v>4728</v>
      </c>
      <c r="C4264" t="str">
        <f>"460003199107043031"</f>
        <v>460003199107043031</v>
      </c>
      <c r="D4264" t="str">
        <f>"248030302426"</f>
        <v>248030302426</v>
      </c>
      <c r="L4264">
        <v>5545</v>
      </c>
      <c r="M4264" t="s">
        <v>4728</v>
      </c>
      <c r="N4264" t="str">
        <f>"248030302426"</f>
        <v>248030302426</v>
      </c>
      <c r="O4264" t="str">
        <f>"460003199107043031"</f>
        <v>460003199107043031</v>
      </c>
    </row>
    <row r="4265" customFormat="1" spans="1:15">
      <c r="A4265">
        <v>5546</v>
      </c>
      <c r="B4265" t="s">
        <v>4729</v>
      </c>
      <c r="C4265" t="str">
        <f>"460031199706077212"</f>
        <v>460031199706077212</v>
      </c>
      <c r="L4265">
        <v>5546</v>
      </c>
      <c r="M4265" t="s">
        <v>4729</v>
      </c>
      <c r="O4265" t="str">
        <f>"460031199706077212"</f>
        <v>460031199706077212</v>
      </c>
    </row>
    <row r="4266" customFormat="1" spans="1:15">
      <c r="A4266">
        <v>5547</v>
      </c>
      <c r="B4266" t="s">
        <v>4730</v>
      </c>
      <c r="C4266" t="str">
        <f>"469002200208154627"</f>
        <v>469002200208154627</v>
      </c>
      <c r="D4266" t="str">
        <f>"248030100901"</f>
        <v>248030100901</v>
      </c>
      <c r="L4266">
        <v>5547</v>
      </c>
      <c r="M4266" t="s">
        <v>4730</v>
      </c>
      <c r="N4266" t="str">
        <f>"248030100901"</f>
        <v>248030100901</v>
      </c>
      <c r="O4266" t="str">
        <f>"469002200208154627"</f>
        <v>469002200208154627</v>
      </c>
    </row>
    <row r="4267" customFormat="1" spans="1:15">
      <c r="A4267">
        <v>5549</v>
      </c>
      <c r="B4267" t="s">
        <v>1457</v>
      </c>
      <c r="C4267" t="str">
        <f>"460103199303221822"</f>
        <v>460103199303221822</v>
      </c>
      <c r="D4267" t="str">
        <f>"248030501419"</f>
        <v>248030501419</v>
      </c>
      <c r="L4267">
        <v>5549</v>
      </c>
      <c r="M4267" t="s">
        <v>1457</v>
      </c>
      <c r="N4267" t="str">
        <f>"248030501419"</f>
        <v>248030501419</v>
      </c>
      <c r="O4267" t="str">
        <f>"460103199303221822"</f>
        <v>460103199303221822</v>
      </c>
    </row>
    <row r="4268" customFormat="1" spans="1:15">
      <c r="A4268">
        <v>5550</v>
      </c>
      <c r="B4268" t="s">
        <v>4731</v>
      </c>
      <c r="C4268" t="str">
        <f>"460003199710037023"</f>
        <v>460003199710037023</v>
      </c>
      <c r="D4268" t="str">
        <f>"248030400523"</f>
        <v>248030400523</v>
      </c>
      <c r="L4268">
        <v>5550</v>
      </c>
      <c r="M4268" t="s">
        <v>4731</v>
      </c>
      <c r="N4268" t="str">
        <f>"248030400523"</f>
        <v>248030400523</v>
      </c>
      <c r="O4268" t="str">
        <f>"460003199710037023"</f>
        <v>460003199710037023</v>
      </c>
    </row>
    <row r="4269" customFormat="1" spans="1:15">
      <c r="A4269">
        <v>5551</v>
      </c>
      <c r="B4269" t="s">
        <v>4732</v>
      </c>
      <c r="C4269" t="str">
        <f>"460200199511070025"</f>
        <v>460200199511070025</v>
      </c>
      <c r="D4269" t="str">
        <f>"248030103509"</f>
        <v>248030103509</v>
      </c>
      <c r="L4269">
        <v>5551</v>
      </c>
      <c r="M4269" t="s">
        <v>4732</v>
      </c>
      <c r="N4269" t="str">
        <f>"248030103509"</f>
        <v>248030103509</v>
      </c>
      <c r="O4269" t="str">
        <f>"460200199511070025"</f>
        <v>460200199511070025</v>
      </c>
    </row>
    <row r="4270" customFormat="1" spans="1:15">
      <c r="A4270">
        <v>5552</v>
      </c>
      <c r="B4270" t="s">
        <v>4733</v>
      </c>
      <c r="C4270" t="str">
        <f>"460004199712175215"</f>
        <v>460004199712175215</v>
      </c>
      <c r="D4270" t="str">
        <f>"248030404319"</f>
        <v>248030404319</v>
      </c>
      <c r="L4270">
        <v>5552</v>
      </c>
      <c r="M4270" t="s">
        <v>4733</v>
      </c>
      <c r="N4270" t="str">
        <f>"248030404319"</f>
        <v>248030404319</v>
      </c>
      <c r="O4270" t="str">
        <f>"460004199712175215"</f>
        <v>460004199712175215</v>
      </c>
    </row>
    <row r="4271" customFormat="1" spans="1:15">
      <c r="A4271">
        <v>5553</v>
      </c>
      <c r="B4271" t="s">
        <v>4734</v>
      </c>
      <c r="C4271" t="str">
        <f>"460200199708091428"</f>
        <v>460200199708091428</v>
      </c>
      <c r="D4271" t="str">
        <f>"248030501322"</f>
        <v>248030501322</v>
      </c>
      <c r="L4271">
        <v>5553</v>
      </c>
      <c r="M4271" t="s">
        <v>4734</v>
      </c>
      <c r="N4271" t="str">
        <f>"248030501322"</f>
        <v>248030501322</v>
      </c>
      <c r="O4271" t="str">
        <f>"460200199708091428"</f>
        <v>460200199708091428</v>
      </c>
    </row>
    <row r="4272" customFormat="1" spans="1:15">
      <c r="A4272">
        <v>5554</v>
      </c>
      <c r="B4272" t="s">
        <v>4735</v>
      </c>
      <c r="C4272" t="str">
        <f>"469007200202276828"</f>
        <v>469007200202276828</v>
      </c>
      <c r="D4272" t="str">
        <f>"248030503608"</f>
        <v>248030503608</v>
      </c>
      <c r="L4272">
        <v>5554</v>
      </c>
      <c r="M4272" t="s">
        <v>4735</v>
      </c>
      <c r="N4272" t="str">
        <f>"248030503608"</f>
        <v>248030503608</v>
      </c>
      <c r="O4272" t="str">
        <f>"469007200202276828"</f>
        <v>469007200202276828</v>
      </c>
    </row>
    <row r="4273" customFormat="1" spans="1:15">
      <c r="A4273">
        <v>5555</v>
      </c>
      <c r="B4273" t="s">
        <v>494</v>
      </c>
      <c r="C4273" t="str">
        <f>"460006199406252924"</f>
        <v>460006199406252924</v>
      </c>
      <c r="D4273" t="str">
        <f>"248030500511"</f>
        <v>248030500511</v>
      </c>
      <c r="L4273">
        <v>5555</v>
      </c>
      <c r="M4273" t="s">
        <v>494</v>
      </c>
      <c r="N4273" t="str">
        <f>"248030500511"</f>
        <v>248030500511</v>
      </c>
      <c r="O4273" t="str">
        <f>"460006199406252924"</f>
        <v>460006199406252924</v>
      </c>
    </row>
    <row r="4274" customFormat="1" spans="1:15">
      <c r="A4274">
        <v>5556</v>
      </c>
      <c r="B4274" t="s">
        <v>4736</v>
      </c>
      <c r="C4274" t="str">
        <f>"440923199205181500"</f>
        <v>440923199205181500</v>
      </c>
      <c r="D4274" t="str">
        <f>"248030202830"</f>
        <v>248030202830</v>
      </c>
      <c r="L4274">
        <v>5556</v>
      </c>
      <c r="M4274" t="s">
        <v>4736</v>
      </c>
      <c r="N4274" t="str">
        <f>"248030202830"</f>
        <v>248030202830</v>
      </c>
      <c r="O4274" t="str">
        <f>"440923199205181500"</f>
        <v>440923199205181500</v>
      </c>
    </row>
    <row r="4275" customFormat="1" spans="1:15">
      <c r="A4275">
        <v>5557</v>
      </c>
      <c r="B4275" t="s">
        <v>4737</v>
      </c>
      <c r="C4275" t="str">
        <f>"460033199601206607"</f>
        <v>460033199601206607</v>
      </c>
      <c r="D4275" t="str">
        <f>"248030400509"</f>
        <v>248030400509</v>
      </c>
      <c r="L4275">
        <v>5557</v>
      </c>
      <c r="M4275" t="s">
        <v>4737</v>
      </c>
      <c r="N4275" t="str">
        <f>"248030400509"</f>
        <v>248030400509</v>
      </c>
      <c r="O4275" t="str">
        <f>"460033199601206607"</f>
        <v>460033199601206607</v>
      </c>
    </row>
    <row r="4276" customFormat="1" spans="1:15">
      <c r="A4276">
        <v>5558</v>
      </c>
      <c r="B4276" t="s">
        <v>4738</v>
      </c>
      <c r="C4276" t="str">
        <f>"230103198806090345"</f>
        <v>230103198806090345</v>
      </c>
      <c r="D4276" t="str">
        <f>"248030500623"</f>
        <v>248030500623</v>
      </c>
      <c r="L4276">
        <v>5558</v>
      </c>
      <c r="M4276" t="s">
        <v>4738</v>
      </c>
      <c r="N4276" t="str">
        <f>"248030500623"</f>
        <v>248030500623</v>
      </c>
      <c r="O4276" t="str">
        <f>"230103198806090345"</f>
        <v>230103198806090345</v>
      </c>
    </row>
    <row r="4277" customFormat="1" spans="1:15">
      <c r="A4277">
        <v>5559</v>
      </c>
      <c r="B4277" t="s">
        <v>4739</v>
      </c>
      <c r="C4277" t="str">
        <f>"640111199801300316"</f>
        <v>640111199801300316</v>
      </c>
      <c r="L4277">
        <v>5559</v>
      </c>
      <c r="M4277" t="s">
        <v>4739</v>
      </c>
      <c r="O4277" t="str">
        <f>"640111199801300316"</f>
        <v>640111199801300316</v>
      </c>
    </row>
    <row r="4278" customFormat="1" spans="1:15">
      <c r="A4278">
        <v>5562</v>
      </c>
      <c r="B4278" t="s">
        <v>4740</v>
      </c>
      <c r="C4278" t="str">
        <f>"469029199811261528"</f>
        <v>469029199811261528</v>
      </c>
      <c r="D4278" t="str">
        <f>"248030302721"</f>
        <v>248030302721</v>
      </c>
      <c r="L4278">
        <v>5562</v>
      </c>
      <c r="M4278" t="s">
        <v>4740</v>
      </c>
      <c r="N4278" t="str">
        <f>"248030302721"</f>
        <v>248030302721</v>
      </c>
      <c r="O4278" t="str">
        <f>"469029199811261528"</f>
        <v>469029199811261528</v>
      </c>
    </row>
    <row r="4279" customFormat="1" spans="1:15">
      <c r="A4279">
        <v>5563</v>
      </c>
      <c r="B4279" t="s">
        <v>4741</v>
      </c>
      <c r="C4279" t="str">
        <f>"460033200109023222"</f>
        <v>460033200109023222</v>
      </c>
      <c r="L4279">
        <v>5563</v>
      </c>
      <c r="M4279" t="s">
        <v>4741</v>
      </c>
      <c r="O4279" t="str">
        <f>"460033200109023222"</f>
        <v>460033200109023222</v>
      </c>
    </row>
    <row r="4280" customFormat="1" spans="1:15">
      <c r="A4280">
        <v>5564</v>
      </c>
      <c r="B4280" t="s">
        <v>4742</v>
      </c>
      <c r="C4280" t="str">
        <f>"460025199710042429"</f>
        <v>460025199710042429</v>
      </c>
      <c r="D4280" t="str">
        <f>"248030402604"</f>
        <v>248030402604</v>
      </c>
      <c r="L4280">
        <v>5564</v>
      </c>
      <c r="M4280" t="s">
        <v>4742</v>
      </c>
      <c r="N4280" t="str">
        <f>"248030402604"</f>
        <v>248030402604</v>
      </c>
      <c r="O4280" t="str">
        <f>"460025199710042429"</f>
        <v>460025199710042429</v>
      </c>
    </row>
    <row r="4281" customFormat="1" spans="1:15">
      <c r="A4281">
        <v>5565</v>
      </c>
      <c r="B4281" t="s">
        <v>4743</v>
      </c>
      <c r="C4281" t="str">
        <f>"431229200207180020"</f>
        <v>431229200207180020</v>
      </c>
      <c r="D4281" t="str">
        <f>"248030102826"</f>
        <v>248030102826</v>
      </c>
      <c r="L4281">
        <v>5565</v>
      </c>
      <c r="M4281" t="s">
        <v>4743</v>
      </c>
      <c r="N4281" t="str">
        <f>"248030102826"</f>
        <v>248030102826</v>
      </c>
      <c r="O4281" t="str">
        <f>"431229200207180020"</f>
        <v>431229200207180020</v>
      </c>
    </row>
    <row r="4282" customFormat="1" spans="1:15">
      <c r="A4282">
        <v>5566</v>
      </c>
      <c r="B4282" t="s">
        <v>4744</v>
      </c>
      <c r="C4282" t="str">
        <f>"460007199909170011"</f>
        <v>460007199909170011</v>
      </c>
      <c r="D4282" t="str">
        <f>"248030300311"</f>
        <v>248030300311</v>
      </c>
      <c r="L4282">
        <v>5566</v>
      </c>
      <c r="M4282" t="s">
        <v>4744</v>
      </c>
      <c r="N4282" t="str">
        <f>"248030300311"</f>
        <v>248030300311</v>
      </c>
      <c r="O4282" t="str">
        <f>"460007199909170011"</f>
        <v>460007199909170011</v>
      </c>
    </row>
    <row r="4283" customFormat="1" spans="1:15">
      <c r="A4283">
        <v>5567</v>
      </c>
      <c r="B4283" t="s">
        <v>4745</v>
      </c>
      <c r="C4283" t="str">
        <f>"513101200101231926"</f>
        <v>513101200101231926</v>
      </c>
      <c r="D4283" t="str">
        <f>"248030203024"</f>
        <v>248030203024</v>
      </c>
      <c r="L4283">
        <v>5567</v>
      </c>
      <c r="M4283" t="s">
        <v>4745</v>
      </c>
      <c r="N4283" t="str">
        <f>"248030203024"</f>
        <v>248030203024</v>
      </c>
      <c r="O4283" t="str">
        <f>"513101200101231926"</f>
        <v>513101200101231926</v>
      </c>
    </row>
    <row r="4284" customFormat="1" spans="1:15">
      <c r="A4284">
        <v>5569</v>
      </c>
      <c r="B4284" t="s">
        <v>4746</v>
      </c>
      <c r="C4284" t="str">
        <f>"460102198812190322"</f>
        <v>460102198812190322</v>
      </c>
      <c r="D4284" t="str">
        <f>"248030101408"</f>
        <v>248030101408</v>
      </c>
      <c r="L4284">
        <v>5569</v>
      </c>
      <c r="M4284" t="s">
        <v>4746</v>
      </c>
      <c r="N4284" t="str">
        <f>"248030101408"</f>
        <v>248030101408</v>
      </c>
      <c r="O4284" t="str">
        <f>"460102198812190322"</f>
        <v>460102198812190322</v>
      </c>
    </row>
    <row r="4285" customFormat="1" spans="1:15">
      <c r="A4285">
        <v>5570</v>
      </c>
      <c r="B4285" t="s">
        <v>4747</v>
      </c>
      <c r="C4285" t="str">
        <f>"431081200011063265"</f>
        <v>431081200011063265</v>
      </c>
      <c r="D4285" t="str">
        <f>"248030502819"</f>
        <v>248030502819</v>
      </c>
      <c r="L4285">
        <v>5570</v>
      </c>
      <c r="M4285" t="s">
        <v>4747</v>
      </c>
      <c r="N4285" t="str">
        <f>"248030502819"</f>
        <v>248030502819</v>
      </c>
      <c r="O4285" t="str">
        <f>"431081200011063265"</f>
        <v>431081200011063265</v>
      </c>
    </row>
    <row r="4286" customFormat="1" spans="1:15">
      <c r="A4286">
        <v>5571</v>
      </c>
      <c r="B4286" t="s">
        <v>4748</v>
      </c>
      <c r="C4286" t="str">
        <f>"460006199811045224"</f>
        <v>460006199811045224</v>
      </c>
      <c r="D4286" t="str">
        <f>"248030101118"</f>
        <v>248030101118</v>
      </c>
      <c r="L4286">
        <v>5571</v>
      </c>
      <c r="M4286" t="s">
        <v>4748</v>
      </c>
      <c r="N4286" t="str">
        <f>"248030101118"</f>
        <v>248030101118</v>
      </c>
      <c r="O4286" t="str">
        <f>"460006199811045224"</f>
        <v>460006199811045224</v>
      </c>
    </row>
    <row r="4287" customFormat="1" spans="1:15">
      <c r="A4287">
        <v>5574</v>
      </c>
      <c r="B4287" t="s">
        <v>4749</v>
      </c>
      <c r="C4287" t="str">
        <f>"460005199608212326"</f>
        <v>460005199608212326</v>
      </c>
      <c r="D4287" t="str">
        <f>"248030403012"</f>
        <v>248030403012</v>
      </c>
      <c r="L4287">
        <v>5574</v>
      </c>
      <c r="M4287" t="s">
        <v>4749</v>
      </c>
      <c r="N4287" t="str">
        <f>"248030403012"</f>
        <v>248030403012</v>
      </c>
      <c r="O4287" t="str">
        <f>"460005199608212326"</f>
        <v>460005199608212326</v>
      </c>
    </row>
    <row r="4288" customFormat="1" spans="1:15">
      <c r="A4288">
        <v>5575</v>
      </c>
      <c r="B4288" t="s">
        <v>4750</v>
      </c>
      <c r="C4288" t="str">
        <f>"460103200207080623"</f>
        <v>460103200207080623</v>
      </c>
      <c r="D4288" t="str">
        <f>"248030403622"</f>
        <v>248030403622</v>
      </c>
      <c r="L4288">
        <v>5575</v>
      </c>
      <c r="M4288" t="s">
        <v>4750</v>
      </c>
      <c r="N4288" t="str">
        <f>"248030403622"</f>
        <v>248030403622</v>
      </c>
      <c r="O4288" t="str">
        <f>"460103200207080623"</f>
        <v>460103200207080623</v>
      </c>
    </row>
    <row r="4289" customFormat="1" spans="1:15">
      <c r="A4289">
        <v>5576</v>
      </c>
      <c r="B4289" t="s">
        <v>354</v>
      </c>
      <c r="C4289" t="str">
        <f>"460030199406205431"</f>
        <v>460030199406205431</v>
      </c>
      <c r="D4289" t="str">
        <f>"248030202008"</f>
        <v>248030202008</v>
      </c>
      <c r="L4289">
        <v>5576</v>
      </c>
      <c r="M4289" t="s">
        <v>354</v>
      </c>
      <c r="N4289" t="str">
        <f>"248030202008"</f>
        <v>248030202008</v>
      </c>
      <c r="O4289" t="str">
        <f>"460030199406205431"</f>
        <v>460030199406205431</v>
      </c>
    </row>
    <row r="4290" customFormat="1" spans="1:15">
      <c r="A4290">
        <v>5577</v>
      </c>
      <c r="B4290" t="s">
        <v>4751</v>
      </c>
      <c r="C4290" t="str">
        <f>"460026199803292749"</f>
        <v>460026199803292749</v>
      </c>
      <c r="D4290" t="str">
        <f>"248030301611"</f>
        <v>248030301611</v>
      </c>
      <c r="L4290">
        <v>5577</v>
      </c>
      <c r="M4290" t="s">
        <v>4751</v>
      </c>
      <c r="N4290" t="str">
        <f>"248030301611"</f>
        <v>248030301611</v>
      </c>
      <c r="O4290" t="str">
        <f>"460026199803292749"</f>
        <v>460026199803292749</v>
      </c>
    </row>
    <row r="4291" customFormat="1" spans="1:15">
      <c r="A4291">
        <v>5578</v>
      </c>
      <c r="B4291" t="s">
        <v>4752</v>
      </c>
      <c r="C4291" t="str">
        <f>"460007199212195008"</f>
        <v>460007199212195008</v>
      </c>
      <c r="D4291" t="str">
        <f>"248030401624"</f>
        <v>248030401624</v>
      </c>
      <c r="L4291">
        <v>5578</v>
      </c>
      <c r="M4291" t="s">
        <v>4752</v>
      </c>
      <c r="N4291" t="str">
        <f>"248030401624"</f>
        <v>248030401624</v>
      </c>
      <c r="O4291" t="str">
        <f>"460007199212195008"</f>
        <v>460007199212195008</v>
      </c>
    </row>
    <row r="4292" customFormat="1" spans="1:15">
      <c r="A4292">
        <v>5579</v>
      </c>
      <c r="B4292" t="s">
        <v>4753</v>
      </c>
      <c r="C4292" t="str">
        <f>"532623200010012128"</f>
        <v>532623200010012128</v>
      </c>
      <c r="L4292">
        <v>5579</v>
      </c>
      <c r="M4292" t="s">
        <v>4753</v>
      </c>
      <c r="O4292" t="str">
        <f>"532623200010012128"</f>
        <v>532623200010012128</v>
      </c>
    </row>
    <row r="4293" customFormat="1" spans="1:15">
      <c r="A4293">
        <v>5580</v>
      </c>
      <c r="B4293" t="s">
        <v>4754</v>
      </c>
      <c r="C4293" t="str">
        <f>"460004199102195446"</f>
        <v>460004199102195446</v>
      </c>
      <c r="L4293">
        <v>5580</v>
      </c>
      <c r="M4293" t="s">
        <v>4754</v>
      </c>
      <c r="O4293" t="str">
        <f>"460004199102195446"</f>
        <v>460004199102195446</v>
      </c>
    </row>
    <row r="4294" customFormat="1" spans="1:15">
      <c r="A4294">
        <v>5581</v>
      </c>
      <c r="B4294" t="s">
        <v>4755</v>
      </c>
      <c r="C4294" t="str">
        <f>"460102200104260924"</f>
        <v>460102200104260924</v>
      </c>
      <c r="D4294" t="str">
        <f>"248030103112"</f>
        <v>248030103112</v>
      </c>
      <c r="L4294">
        <v>5581</v>
      </c>
      <c r="M4294" t="s">
        <v>4755</v>
      </c>
      <c r="N4294" t="str">
        <f>"248030103112"</f>
        <v>248030103112</v>
      </c>
      <c r="O4294" t="str">
        <f>"460102200104260924"</f>
        <v>460102200104260924</v>
      </c>
    </row>
    <row r="4295" customFormat="1" spans="1:15">
      <c r="A4295">
        <v>5582</v>
      </c>
      <c r="B4295" t="s">
        <v>425</v>
      </c>
      <c r="C4295" t="str">
        <f>"14242920000320592X"</f>
        <v>14242920000320592X</v>
      </c>
      <c r="D4295" t="str">
        <f>"248030401114"</f>
        <v>248030401114</v>
      </c>
      <c r="L4295">
        <v>5582</v>
      </c>
      <c r="M4295" t="s">
        <v>425</v>
      </c>
      <c r="N4295" t="str">
        <f>"248030401114"</f>
        <v>248030401114</v>
      </c>
      <c r="O4295" t="str">
        <f>"14242920000320592X"</f>
        <v>14242920000320592X</v>
      </c>
    </row>
    <row r="4296" customFormat="1" spans="1:15">
      <c r="A4296">
        <v>5583</v>
      </c>
      <c r="B4296" t="s">
        <v>4756</v>
      </c>
      <c r="C4296" t="str">
        <f>"460033199608066280"</f>
        <v>460033199608066280</v>
      </c>
      <c r="D4296" t="str">
        <f>"248030302724"</f>
        <v>248030302724</v>
      </c>
      <c r="L4296">
        <v>5583</v>
      </c>
      <c r="M4296" t="s">
        <v>4756</v>
      </c>
      <c r="N4296" t="str">
        <f>"248030302724"</f>
        <v>248030302724</v>
      </c>
      <c r="O4296" t="str">
        <f>"460033199608066280"</f>
        <v>460033199608066280</v>
      </c>
    </row>
    <row r="4297" customFormat="1" spans="1:15">
      <c r="A4297">
        <v>5584</v>
      </c>
      <c r="B4297" t="s">
        <v>4757</v>
      </c>
      <c r="C4297" t="str">
        <f>"460028199403127245"</f>
        <v>460028199403127245</v>
      </c>
      <c r="L4297">
        <v>5584</v>
      </c>
      <c r="M4297" t="s">
        <v>4757</v>
      </c>
      <c r="O4297" t="str">
        <f>"460028199403127245"</f>
        <v>460028199403127245</v>
      </c>
    </row>
    <row r="4298" customFormat="1" spans="1:15">
      <c r="A4298">
        <v>5585</v>
      </c>
      <c r="B4298" t="s">
        <v>225</v>
      </c>
      <c r="C4298" t="str">
        <f>"460034199203150501"</f>
        <v>460034199203150501</v>
      </c>
      <c r="D4298" t="str">
        <f>"248030203928"</f>
        <v>248030203928</v>
      </c>
      <c r="L4298">
        <v>5585</v>
      </c>
      <c r="M4298" t="s">
        <v>225</v>
      </c>
      <c r="N4298" t="str">
        <f>"248030203928"</f>
        <v>248030203928</v>
      </c>
      <c r="O4298" t="str">
        <f>"460034199203150501"</f>
        <v>460034199203150501</v>
      </c>
    </row>
    <row r="4299" customFormat="1" spans="1:15">
      <c r="A4299">
        <v>5586</v>
      </c>
      <c r="B4299" t="s">
        <v>4758</v>
      </c>
      <c r="C4299" t="str">
        <f>"460007199306085803"</f>
        <v>460007199306085803</v>
      </c>
      <c r="D4299" t="str">
        <f>"248030203517"</f>
        <v>248030203517</v>
      </c>
      <c r="L4299">
        <v>5586</v>
      </c>
      <c r="M4299" t="s">
        <v>4758</v>
      </c>
      <c r="N4299" t="str">
        <f>"248030203517"</f>
        <v>248030203517</v>
      </c>
      <c r="O4299" t="str">
        <f>"460007199306085803"</f>
        <v>460007199306085803</v>
      </c>
    </row>
    <row r="4300" customFormat="1" spans="1:15">
      <c r="A4300">
        <v>5587</v>
      </c>
      <c r="B4300" t="s">
        <v>4759</v>
      </c>
      <c r="C4300" t="str">
        <f>"460030200012035420"</f>
        <v>460030200012035420</v>
      </c>
      <c r="D4300" t="str">
        <f>"248030201918"</f>
        <v>248030201918</v>
      </c>
      <c r="L4300">
        <v>5587</v>
      </c>
      <c r="M4300" t="s">
        <v>4759</v>
      </c>
      <c r="N4300" t="str">
        <f>"248030201918"</f>
        <v>248030201918</v>
      </c>
      <c r="O4300" t="str">
        <f>"460030200012035420"</f>
        <v>460030200012035420</v>
      </c>
    </row>
    <row r="4301" customFormat="1" spans="1:15">
      <c r="A4301">
        <v>5588</v>
      </c>
      <c r="B4301" t="s">
        <v>4760</v>
      </c>
      <c r="C4301" t="str">
        <f>"460033199509232685"</f>
        <v>460033199509232685</v>
      </c>
      <c r="D4301" t="str">
        <f>"248030502506"</f>
        <v>248030502506</v>
      </c>
      <c r="L4301">
        <v>5588</v>
      </c>
      <c r="M4301" t="s">
        <v>4760</v>
      </c>
      <c r="N4301" t="str">
        <f>"248030502506"</f>
        <v>248030502506</v>
      </c>
      <c r="O4301" t="str">
        <f>"460033199509232685"</f>
        <v>460033199509232685</v>
      </c>
    </row>
    <row r="4302" customFormat="1" spans="1:15">
      <c r="A4302">
        <v>5589</v>
      </c>
      <c r="B4302" t="s">
        <v>4761</v>
      </c>
      <c r="C4302" t="str">
        <f>"460003199810212634"</f>
        <v>460003199810212634</v>
      </c>
      <c r="D4302" t="str">
        <f>"248030402502"</f>
        <v>248030402502</v>
      </c>
      <c r="L4302">
        <v>5589</v>
      </c>
      <c r="M4302" t="s">
        <v>4761</v>
      </c>
      <c r="N4302" t="str">
        <f>"248030402502"</f>
        <v>248030402502</v>
      </c>
      <c r="O4302" t="str">
        <f>"460003199810212634"</f>
        <v>460003199810212634</v>
      </c>
    </row>
    <row r="4303" customFormat="1" spans="1:15">
      <c r="A4303">
        <v>5590</v>
      </c>
      <c r="B4303" t="s">
        <v>4762</v>
      </c>
      <c r="C4303" t="str">
        <f>"460004199810202045"</f>
        <v>460004199810202045</v>
      </c>
      <c r="D4303" t="str">
        <f>"248030301730"</f>
        <v>248030301730</v>
      </c>
      <c r="L4303">
        <v>5590</v>
      </c>
      <c r="M4303" t="s">
        <v>4762</v>
      </c>
      <c r="N4303" t="str">
        <f>"248030301730"</f>
        <v>248030301730</v>
      </c>
      <c r="O4303" t="str">
        <f>"460004199810202045"</f>
        <v>460004199810202045</v>
      </c>
    </row>
    <row r="4304" customFormat="1" spans="1:15">
      <c r="A4304">
        <v>5591</v>
      </c>
      <c r="B4304" t="s">
        <v>4763</v>
      </c>
      <c r="C4304" t="str">
        <f>"440582199603314223"</f>
        <v>440582199603314223</v>
      </c>
      <c r="D4304" t="str">
        <f>"248030301003"</f>
        <v>248030301003</v>
      </c>
      <c r="L4304">
        <v>5591</v>
      </c>
      <c r="M4304" t="s">
        <v>4763</v>
      </c>
      <c r="N4304" t="str">
        <f>"248030301003"</f>
        <v>248030301003</v>
      </c>
      <c r="O4304" t="str">
        <f>"440582199603314223"</f>
        <v>440582199603314223</v>
      </c>
    </row>
    <row r="4305" customFormat="1" spans="1:15">
      <c r="A4305">
        <v>5592</v>
      </c>
      <c r="B4305" t="s">
        <v>4764</v>
      </c>
      <c r="C4305" t="str">
        <f>"460103199912023020"</f>
        <v>460103199912023020</v>
      </c>
      <c r="D4305" t="str">
        <f>"248030104707"</f>
        <v>248030104707</v>
      </c>
      <c r="L4305">
        <v>5592</v>
      </c>
      <c r="M4305" t="s">
        <v>4764</v>
      </c>
      <c r="N4305" t="str">
        <f>"248030104707"</f>
        <v>248030104707</v>
      </c>
      <c r="O4305" t="str">
        <f>"460103199912023020"</f>
        <v>460103199912023020</v>
      </c>
    </row>
    <row r="4306" customFormat="1" spans="1:15">
      <c r="A4306">
        <v>5594</v>
      </c>
      <c r="B4306" t="s">
        <v>4765</v>
      </c>
      <c r="C4306" t="str">
        <f>"469003199905085023"</f>
        <v>469003199905085023</v>
      </c>
      <c r="D4306" t="str">
        <f>"248030202003"</f>
        <v>248030202003</v>
      </c>
      <c r="L4306">
        <v>5594</v>
      </c>
      <c r="M4306" t="s">
        <v>4765</v>
      </c>
      <c r="N4306" t="str">
        <f>"248030202003"</f>
        <v>248030202003</v>
      </c>
      <c r="O4306" t="str">
        <f>"469003199905085023"</f>
        <v>469003199905085023</v>
      </c>
    </row>
    <row r="4307" customFormat="1" spans="1:15">
      <c r="A4307">
        <v>5595</v>
      </c>
      <c r="B4307" t="s">
        <v>4766</v>
      </c>
      <c r="C4307" t="str">
        <f>"469005200102083022"</f>
        <v>469005200102083022</v>
      </c>
      <c r="D4307" t="str">
        <f>"248030103618"</f>
        <v>248030103618</v>
      </c>
      <c r="L4307">
        <v>5595</v>
      </c>
      <c r="M4307" t="s">
        <v>4766</v>
      </c>
      <c r="N4307" t="str">
        <f>"248030103618"</f>
        <v>248030103618</v>
      </c>
      <c r="O4307" t="str">
        <f>"469005200102083022"</f>
        <v>469005200102083022</v>
      </c>
    </row>
    <row r="4308" customFormat="1" spans="1:15">
      <c r="A4308">
        <v>5597</v>
      </c>
      <c r="B4308" t="s">
        <v>3189</v>
      </c>
      <c r="C4308" t="str">
        <f>"460028199710046023"</f>
        <v>460028199710046023</v>
      </c>
      <c r="D4308" t="str">
        <f>"248030100218"</f>
        <v>248030100218</v>
      </c>
      <c r="L4308">
        <v>5597</v>
      </c>
      <c r="M4308" t="s">
        <v>3189</v>
      </c>
      <c r="N4308" t="str">
        <f>"248030100218"</f>
        <v>248030100218</v>
      </c>
      <c r="O4308" t="str">
        <f>"460028199710046023"</f>
        <v>460028199710046023</v>
      </c>
    </row>
    <row r="4309" customFormat="1" spans="1:15">
      <c r="A4309">
        <v>5598</v>
      </c>
      <c r="B4309" t="s">
        <v>4767</v>
      </c>
      <c r="C4309" t="str">
        <f>"460034200106120015"</f>
        <v>460034200106120015</v>
      </c>
      <c r="L4309">
        <v>5598</v>
      </c>
      <c r="M4309" t="s">
        <v>4767</v>
      </c>
      <c r="O4309" t="str">
        <f>"460034200106120015"</f>
        <v>460034200106120015</v>
      </c>
    </row>
    <row r="4310" customFormat="1" spans="1:15">
      <c r="A4310">
        <v>5599</v>
      </c>
      <c r="B4310" t="s">
        <v>4768</v>
      </c>
      <c r="C4310" t="str">
        <f>"460103200010200628"</f>
        <v>460103200010200628</v>
      </c>
      <c r="L4310">
        <v>5599</v>
      </c>
      <c r="M4310" t="s">
        <v>4768</v>
      </c>
      <c r="O4310" t="str">
        <f>"460103200010200628"</f>
        <v>460103200010200628</v>
      </c>
    </row>
    <row r="4311" customFormat="1" spans="1:15">
      <c r="A4311">
        <v>5600</v>
      </c>
      <c r="B4311" t="s">
        <v>4769</v>
      </c>
      <c r="C4311" t="str">
        <f>"460006199510150012"</f>
        <v>460006199510150012</v>
      </c>
      <c r="D4311" t="str">
        <f>"248030104902"</f>
        <v>248030104902</v>
      </c>
      <c r="L4311">
        <v>5600</v>
      </c>
      <c r="M4311" t="s">
        <v>4769</v>
      </c>
      <c r="N4311" t="str">
        <f>"248030104902"</f>
        <v>248030104902</v>
      </c>
      <c r="O4311" t="str">
        <f>"460006199510150012"</f>
        <v>460006199510150012</v>
      </c>
    </row>
    <row r="4312" customFormat="1" spans="1:15">
      <c r="A4312">
        <v>5601</v>
      </c>
      <c r="B4312" t="s">
        <v>4770</v>
      </c>
      <c r="C4312" t="str">
        <f>"230228199812030848"</f>
        <v>230228199812030848</v>
      </c>
      <c r="D4312" t="str">
        <f>"248030202921"</f>
        <v>248030202921</v>
      </c>
      <c r="L4312">
        <v>5601</v>
      </c>
      <c r="M4312" t="s">
        <v>4770</v>
      </c>
      <c r="N4312" t="str">
        <f>"248030202921"</f>
        <v>248030202921</v>
      </c>
      <c r="O4312" t="str">
        <f>"230228199812030848"</f>
        <v>230228199812030848</v>
      </c>
    </row>
    <row r="4313" customFormat="1" spans="1:15">
      <c r="A4313">
        <v>5602</v>
      </c>
      <c r="B4313" t="s">
        <v>4771</v>
      </c>
      <c r="C4313" t="str">
        <f>"460004198908261620"</f>
        <v>460004198908261620</v>
      </c>
      <c r="L4313">
        <v>5602</v>
      </c>
      <c r="M4313" t="s">
        <v>4771</v>
      </c>
      <c r="O4313" t="str">
        <f>"460004198908261620"</f>
        <v>460004198908261620</v>
      </c>
    </row>
    <row r="4314" customFormat="1" spans="1:15">
      <c r="A4314">
        <v>5603</v>
      </c>
      <c r="B4314" t="s">
        <v>4772</v>
      </c>
      <c r="C4314" t="str">
        <f>"460003199203256029"</f>
        <v>460003199203256029</v>
      </c>
      <c r="D4314" t="str">
        <f>"248030100123"</f>
        <v>248030100123</v>
      </c>
      <c r="L4314">
        <v>5603</v>
      </c>
      <c r="M4314" t="s">
        <v>4772</v>
      </c>
      <c r="N4314" t="str">
        <f>"248030100123"</f>
        <v>248030100123</v>
      </c>
      <c r="O4314" t="str">
        <f>"460003199203256029"</f>
        <v>460003199203256029</v>
      </c>
    </row>
    <row r="4315" customFormat="1" spans="1:15">
      <c r="A4315">
        <v>5604</v>
      </c>
      <c r="B4315" t="s">
        <v>4773</v>
      </c>
      <c r="C4315" t="str">
        <f>"460027200107054124"</f>
        <v>460027200107054124</v>
      </c>
      <c r="D4315" t="str">
        <f>"248030500315"</f>
        <v>248030500315</v>
      </c>
      <c r="L4315">
        <v>5604</v>
      </c>
      <c r="M4315" t="s">
        <v>4773</v>
      </c>
      <c r="N4315" t="str">
        <f>"248030500315"</f>
        <v>248030500315</v>
      </c>
      <c r="O4315" t="str">
        <f>"460027200107054124"</f>
        <v>460027200107054124</v>
      </c>
    </row>
    <row r="4316" customFormat="1" spans="1:15">
      <c r="A4316">
        <v>5605</v>
      </c>
      <c r="B4316" t="s">
        <v>4774</v>
      </c>
      <c r="C4316" t="str">
        <f>"460033199202283226"</f>
        <v>460033199202283226</v>
      </c>
      <c r="L4316">
        <v>5605</v>
      </c>
      <c r="M4316" t="s">
        <v>4774</v>
      </c>
      <c r="O4316" t="str">
        <f>"460033199202283226"</f>
        <v>460033199202283226</v>
      </c>
    </row>
    <row r="4317" customFormat="1" spans="1:15">
      <c r="A4317">
        <v>5606</v>
      </c>
      <c r="B4317" t="s">
        <v>4775</v>
      </c>
      <c r="C4317" t="str">
        <f>"469023200207060620"</f>
        <v>469023200207060620</v>
      </c>
      <c r="D4317" t="str">
        <f>"248030504027"</f>
        <v>248030504027</v>
      </c>
      <c r="L4317">
        <v>5606</v>
      </c>
      <c r="M4317" t="s">
        <v>4775</v>
      </c>
      <c r="N4317" t="str">
        <f>"248030504027"</f>
        <v>248030504027</v>
      </c>
      <c r="O4317" t="str">
        <f>"469023200207060620"</f>
        <v>469023200207060620</v>
      </c>
    </row>
    <row r="4318" customFormat="1" spans="1:15">
      <c r="A4318">
        <v>5607</v>
      </c>
      <c r="B4318" t="s">
        <v>4776</v>
      </c>
      <c r="C4318" t="str">
        <f>"460003199204242024"</f>
        <v>460003199204242024</v>
      </c>
      <c r="D4318" t="str">
        <f>"248030400113"</f>
        <v>248030400113</v>
      </c>
      <c r="L4318">
        <v>5607</v>
      </c>
      <c r="M4318" t="s">
        <v>4776</v>
      </c>
      <c r="N4318" t="str">
        <f>"248030400113"</f>
        <v>248030400113</v>
      </c>
      <c r="O4318" t="str">
        <f>"460003199204242024"</f>
        <v>460003199204242024</v>
      </c>
    </row>
    <row r="4319" customFormat="1" spans="1:15">
      <c r="A4319">
        <v>5611</v>
      </c>
      <c r="B4319" t="s">
        <v>4777</v>
      </c>
      <c r="C4319" t="str">
        <f>"42108119950113062X"</f>
        <v>42108119950113062X</v>
      </c>
      <c r="D4319" t="str">
        <f>"248030104513"</f>
        <v>248030104513</v>
      </c>
      <c r="L4319">
        <v>5611</v>
      </c>
      <c r="M4319" t="s">
        <v>4777</v>
      </c>
      <c r="N4319" t="str">
        <f>"248030104513"</f>
        <v>248030104513</v>
      </c>
      <c r="O4319" t="str">
        <f>"42108119950113062X"</f>
        <v>42108119950113062X</v>
      </c>
    </row>
    <row r="4320" customFormat="1" spans="1:15">
      <c r="A4320">
        <v>5612</v>
      </c>
      <c r="B4320" t="s">
        <v>4778</v>
      </c>
      <c r="C4320" t="str">
        <f>"460027199507153767"</f>
        <v>460027199507153767</v>
      </c>
      <c r="D4320" t="str">
        <f>"248030400221"</f>
        <v>248030400221</v>
      </c>
      <c r="L4320">
        <v>5612</v>
      </c>
      <c r="M4320" t="s">
        <v>4778</v>
      </c>
      <c r="N4320" t="str">
        <f>"248030400221"</f>
        <v>248030400221</v>
      </c>
      <c r="O4320" t="str">
        <f>"460027199507153767"</f>
        <v>460027199507153767</v>
      </c>
    </row>
    <row r="4321" customFormat="1" spans="1:15">
      <c r="A4321">
        <v>5613</v>
      </c>
      <c r="B4321" t="s">
        <v>4779</v>
      </c>
      <c r="C4321" t="str">
        <f>"152128198801100910"</f>
        <v>152128198801100910</v>
      </c>
      <c r="D4321" t="str">
        <f>"248030201520"</f>
        <v>248030201520</v>
      </c>
      <c r="L4321">
        <v>5613</v>
      </c>
      <c r="M4321" t="s">
        <v>4779</v>
      </c>
      <c r="N4321" t="str">
        <f>"248030201520"</f>
        <v>248030201520</v>
      </c>
      <c r="O4321" t="str">
        <f>"152128198801100910"</f>
        <v>152128198801100910</v>
      </c>
    </row>
    <row r="4322" customFormat="1" spans="1:15">
      <c r="A4322">
        <v>5614</v>
      </c>
      <c r="B4322" t="s">
        <v>1935</v>
      </c>
      <c r="C4322" t="str">
        <f>"460006199109131640"</f>
        <v>460006199109131640</v>
      </c>
      <c r="L4322">
        <v>5614</v>
      </c>
      <c r="M4322" t="s">
        <v>1935</v>
      </c>
      <c r="O4322" t="str">
        <f>"460006199109131640"</f>
        <v>460006199109131640</v>
      </c>
    </row>
    <row r="4323" customFormat="1" spans="1:15">
      <c r="A4323">
        <v>5615</v>
      </c>
      <c r="B4323" t="s">
        <v>4780</v>
      </c>
      <c r="C4323" t="str">
        <f>"46900319971122702X"</f>
        <v>46900319971122702X</v>
      </c>
      <c r="D4323" t="str">
        <f>"248030503727"</f>
        <v>248030503727</v>
      </c>
      <c r="L4323">
        <v>5615</v>
      </c>
      <c r="M4323" t="s">
        <v>4780</v>
      </c>
      <c r="N4323" t="str">
        <f>"248030503727"</f>
        <v>248030503727</v>
      </c>
      <c r="O4323" t="str">
        <f>"46900319971122702X"</f>
        <v>46900319971122702X</v>
      </c>
    </row>
    <row r="4324" customFormat="1" spans="1:15">
      <c r="A4324">
        <v>5616</v>
      </c>
      <c r="B4324" t="s">
        <v>4781</v>
      </c>
      <c r="C4324" t="str">
        <f>"460004199201124221"</f>
        <v>460004199201124221</v>
      </c>
      <c r="D4324" t="str">
        <f>"248030400416"</f>
        <v>248030400416</v>
      </c>
      <c r="L4324">
        <v>5616</v>
      </c>
      <c r="M4324" t="s">
        <v>4781</v>
      </c>
      <c r="N4324" t="str">
        <f>"248030400416"</f>
        <v>248030400416</v>
      </c>
      <c r="O4324" t="str">
        <f>"460004199201124221"</f>
        <v>460004199201124221</v>
      </c>
    </row>
    <row r="4325" customFormat="1" spans="1:15">
      <c r="A4325">
        <v>5617</v>
      </c>
      <c r="B4325" t="s">
        <v>4782</v>
      </c>
      <c r="C4325" t="str">
        <f>"460034199803233327"</f>
        <v>460034199803233327</v>
      </c>
      <c r="D4325" t="str">
        <f>"248030404314"</f>
        <v>248030404314</v>
      </c>
      <c r="L4325">
        <v>5617</v>
      </c>
      <c r="M4325" t="s">
        <v>4782</v>
      </c>
      <c r="N4325" t="str">
        <f>"248030404314"</f>
        <v>248030404314</v>
      </c>
      <c r="O4325" t="str">
        <f>"460034199803233327"</f>
        <v>460034199803233327</v>
      </c>
    </row>
    <row r="4326" customFormat="1" spans="1:15">
      <c r="A4326">
        <v>5618</v>
      </c>
      <c r="B4326" t="s">
        <v>4783</v>
      </c>
      <c r="C4326" t="str">
        <f>"460007199210180427"</f>
        <v>460007199210180427</v>
      </c>
      <c r="D4326" t="str">
        <f>"248030104124"</f>
        <v>248030104124</v>
      </c>
      <c r="L4326">
        <v>5618</v>
      </c>
      <c r="M4326" t="s">
        <v>4783</v>
      </c>
      <c r="N4326" t="str">
        <f>"248030104124"</f>
        <v>248030104124</v>
      </c>
      <c r="O4326" t="str">
        <f>"460007199210180427"</f>
        <v>460007199210180427</v>
      </c>
    </row>
    <row r="4327" customFormat="1" spans="1:15">
      <c r="A4327">
        <v>5619</v>
      </c>
      <c r="B4327" t="s">
        <v>4784</v>
      </c>
      <c r="C4327" t="str">
        <f>"460102199709191225"</f>
        <v>460102199709191225</v>
      </c>
      <c r="D4327" t="str">
        <f>"248030500914"</f>
        <v>248030500914</v>
      </c>
      <c r="L4327">
        <v>5619</v>
      </c>
      <c r="M4327" t="s">
        <v>4784</v>
      </c>
      <c r="N4327" t="str">
        <f>"248030500914"</f>
        <v>248030500914</v>
      </c>
      <c r="O4327" t="str">
        <f>"460102199709191225"</f>
        <v>460102199709191225</v>
      </c>
    </row>
    <row r="4328" customFormat="1" spans="1:15">
      <c r="A4328">
        <v>5620</v>
      </c>
      <c r="B4328" t="s">
        <v>4785</v>
      </c>
      <c r="C4328" t="str">
        <f>"460102200012150920"</f>
        <v>460102200012150920</v>
      </c>
      <c r="D4328" t="str">
        <f>"248030301527"</f>
        <v>248030301527</v>
      </c>
      <c r="L4328">
        <v>5620</v>
      </c>
      <c r="M4328" t="s">
        <v>4785</v>
      </c>
      <c r="N4328" t="str">
        <f>"248030301527"</f>
        <v>248030301527</v>
      </c>
      <c r="O4328" t="str">
        <f>"460102200012150920"</f>
        <v>460102200012150920</v>
      </c>
    </row>
    <row r="4329" customFormat="1" spans="1:15">
      <c r="A4329">
        <v>5621</v>
      </c>
      <c r="B4329" t="s">
        <v>4786</v>
      </c>
      <c r="C4329" t="str">
        <f>"460006200201232925"</f>
        <v>460006200201232925</v>
      </c>
      <c r="L4329">
        <v>5621</v>
      </c>
      <c r="M4329" t="s">
        <v>4786</v>
      </c>
      <c r="O4329" t="str">
        <f>"460006200201232925"</f>
        <v>460006200201232925</v>
      </c>
    </row>
    <row r="4330" customFormat="1" spans="1:15">
      <c r="A4330">
        <v>5622</v>
      </c>
      <c r="B4330" t="s">
        <v>4787</v>
      </c>
      <c r="C4330" t="str">
        <f>"460025199110094866"</f>
        <v>460025199110094866</v>
      </c>
      <c r="D4330" t="str">
        <f>"248030105015"</f>
        <v>248030105015</v>
      </c>
      <c r="L4330">
        <v>5622</v>
      </c>
      <c r="M4330" t="s">
        <v>4787</v>
      </c>
      <c r="N4330" t="str">
        <f>"248030105015"</f>
        <v>248030105015</v>
      </c>
      <c r="O4330" t="str">
        <f>"460025199110094866"</f>
        <v>460025199110094866</v>
      </c>
    </row>
    <row r="4331" customFormat="1" spans="1:15">
      <c r="A4331">
        <v>5623</v>
      </c>
      <c r="B4331" t="s">
        <v>4788</v>
      </c>
      <c r="C4331" t="str">
        <f>"460003199606282416"</f>
        <v>460003199606282416</v>
      </c>
      <c r="D4331" t="str">
        <f>"248030202325"</f>
        <v>248030202325</v>
      </c>
      <c r="L4331">
        <v>5623</v>
      </c>
      <c r="M4331" t="s">
        <v>4788</v>
      </c>
      <c r="N4331" t="str">
        <f>"248030202325"</f>
        <v>248030202325</v>
      </c>
      <c r="O4331" t="str">
        <f>"460003199606282416"</f>
        <v>460003199606282416</v>
      </c>
    </row>
    <row r="4332" customFormat="1" spans="1:15">
      <c r="A4332">
        <v>5624</v>
      </c>
      <c r="B4332" t="s">
        <v>4789</v>
      </c>
      <c r="C4332" t="str">
        <f>"412301198702140540"</f>
        <v>412301198702140540</v>
      </c>
      <c r="D4332" t="str">
        <f>"248030300817"</f>
        <v>248030300817</v>
      </c>
      <c r="L4332">
        <v>5624</v>
      </c>
      <c r="M4332" t="s">
        <v>4789</v>
      </c>
      <c r="N4332" t="str">
        <f>"248030300817"</f>
        <v>248030300817</v>
      </c>
      <c r="O4332" t="str">
        <f>"412301198702140540"</f>
        <v>412301198702140540</v>
      </c>
    </row>
    <row r="4333" customFormat="1" spans="1:15">
      <c r="A4333">
        <v>5625</v>
      </c>
      <c r="B4333" t="s">
        <v>4790</v>
      </c>
      <c r="C4333" t="str">
        <f>"460103199802181810"</f>
        <v>460103199802181810</v>
      </c>
      <c r="D4333" t="str">
        <f>"248030105014"</f>
        <v>248030105014</v>
      </c>
      <c r="L4333">
        <v>5625</v>
      </c>
      <c r="M4333" t="s">
        <v>4790</v>
      </c>
      <c r="N4333" t="str">
        <f>"248030105014"</f>
        <v>248030105014</v>
      </c>
      <c r="O4333" t="str">
        <f>"460103199802181810"</f>
        <v>460103199802181810</v>
      </c>
    </row>
    <row r="4334" customFormat="1" spans="1:15">
      <c r="A4334">
        <v>5626</v>
      </c>
      <c r="B4334" t="s">
        <v>4791</v>
      </c>
      <c r="C4334" t="str">
        <f>"460005200206242122"</f>
        <v>460005200206242122</v>
      </c>
      <c r="D4334" t="str">
        <f>"248030402019"</f>
        <v>248030402019</v>
      </c>
      <c r="L4334">
        <v>5626</v>
      </c>
      <c r="M4334" t="s">
        <v>4791</v>
      </c>
      <c r="N4334" t="str">
        <f>"248030402019"</f>
        <v>248030402019</v>
      </c>
      <c r="O4334" t="str">
        <f>"460005200206242122"</f>
        <v>460005200206242122</v>
      </c>
    </row>
    <row r="4335" customFormat="1" spans="1:15">
      <c r="A4335">
        <v>5627</v>
      </c>
      <c r="B4335" t="s">
        <v>4792</v>
      </c>
      <c r="C4335" t="str">
        <f>"460027199811030411"</f>
        <v>460027199811030411</v>
      </c>
      <c r="L4335">
        <v>5627</v>
      </c>
      <c r="M4335" t="s">
        <v>4792</v>
      </c>
      <c r="O4335" t="str">
        <f>"460027199811030411"</f>
        <v>460027199811030411</v>
      </c>
    </row>
    <row r="4336" customFormat="1" spans="1:15">
      <c r="A4336">
        <v>5628</v>
      </c>
      <c r="B4336" t="s">
        <v>4793</v>
      </c>
      <c r="C4336" t="str">
        <f>"460003199803182860"</f>
        <v>460003199803182860</v>
      </c>
      <c r="D4336" t="str">
        <f>"248030100612"</f>
        <v>248030100612</v>
      </c>
      <c r="L4336">
        <v>5628</v>
      </c>
      <c r="M4336" t="s">
        <v>4793</v>
      </c>
      <c r="N4336" t="str">
        <f>"248030100612"</f>
        <v>248030100612</v>
      </c>
      <c r="O4336" t="str">
        <f>"460003199803182860"</f>
        <v>460003199803182860</v>
      </c>
    </row>
    <row r="4337" customFormat="1" spans="1:15">
      <c r="A4337">
        <v>5629</v>
      </c>
      <c r="B4337" t="s">
        <v>4794</v>
      </c>
      <c r="C4337" t="str">
        <f>"230505199701240019"</f>
        <v>230505199701240019</v>
      </c>
      <c r="D4337" t="str">
        <f>"248030400912"</f>
        <v>248030400912</v>
      </c>
      <c r="L4337">
        <v>5629</v>
      </c>
      <c r="M4337" t="s">
        <v>4794</v>
      </c>
      <c r="N4337" t="str">
        <f>"248030400912"</f>
        <v>248030400912</v>
      </c>
      <c r="O4337" t="str">
        <f>"230505199701240019"</f>
        <v>230505199701240019</v>
      </c>
    </row>
    <row r="4338" customFormat="1" spans="1:15">
      <c r="A4338">
        <v>5630</v>
      </c>
      <c r="B4338" t="s">
        <v>4795</v>
      </c>
      <c r="C4338" t="str">
        <f>"460028200006080020"</f>
        <v>460028200006080020</v>
      </c>
      <c r="L4338">
        <v>5630</v>
      </c>
      <c r="M4338" t="s">
        <v>4795</v>
      </c>
      <c r="O4338" t="str">
        <f>"460028200006080020"</f>
        <v>460028200006080020</v>
      </c>
    </row>
    <row r="4339" customFormat="1" spans="1:15">
      <c r="A4339">
        <v>5631</v>
      </c>
      <c r="B4339" t="s">
        <v>4796</v>
      </c>
      <c r="C4339" t="str">
        <f>"46000619940808272X"</f>
        <v>46000619940808272X</v>
      </c>
      <c r="L4339">
        <v>5631</v>
      </c>
      <c r="M4339" t="s">
        <v>4796</v>
      </c>
      <c r="O4339" t="str">
        <f>"46000619940808272X"</f>
        <v>46000619940808272X</v>
      </c>
    </row>
    <row r="4340" customFormat="1" spans="1:15">
      <c r="A4340">
        <v>5632</v>
      </c>
      <c r="B4340" t="s">
        <v>4797</v>
      </c>
      <c r="C4340" t="str">
        <f>"460200199707306327"</f>
        <v>460200199707306327</v>
      </c>
      <c r="D4340" t="str">
        <f>"248030101209"</f>
        <v>248030101209</v>
      </c>
      <c r="L4340">
        <v>5632</v>
      </c>
      <c r="M4340" t="s">
        <v>4797</v>
      </c>
      <c r="N4340" t="str">
        <f>"248030101209"</f>
        <v>248030101209</v>
      </c>
      <c r="O4340" t="str">
        <f>"460200199707306327"</f>
        <v>460200199707306327</v>
      </c>
    </row>
    <row r="4341" customFormat="1" spans="1:15">
      <c r="A4341">
        <v>5633</v>
      </c>
      <c r="B4341" t="s">
        <v>4798</v>
      </c>
      <c r="C4341" t="str">
        <f>"460102199008141241"</f>
        <v>460102199008141241</v>
      </c>
      <c r="L4341">
        <v>5633</v>
      </c>
      <c r="M4341" t="s">
        <v>4798</v>
      </c>
      <c r="O4341" t="str">
        <f>"460102199008141241"</f>
        <v>460102199008141241</v>
      </c>
    </row>
    <row r="4342" customFormat="1" spans="1:15">
      <c r="A4342">
        <v>5634</v>
      </c>
      <c r="B4342" t="s">
        <v>4799</v>
      </c>
      <c r="C4342" t="str">
        <f>"152104199301232240"</f>
        <v>152104199301232240</v>
      </c>
      <c r="D4342" t="str">
        <f>"248030202904"</f>
        <v>248030202904</v>
      </c>
      <c r="L4342">
        <v>5634</v>
      </c>
      <c r="M4342" t="s">
        <v>4799</v>
      </c>
      <c r="N4342" t="str">
        <f>"248030202904"</f>
        <v>248030202904</v>
      </c>
      <c r="O4342" t="str">
        <f>"152104199301232240"</f>
        <v>152104199301232240</v>
      </c>
    </row>
    <row r="4343" customFormat="1" spans="1:15">
      <c r="A4343">
        <v>5635</v>
      </c>
      <c r="B4343" t="s">
        <v>4800</v>
      </c>
      <c r="C4343" t="str">
        <f>"412326199812105449"</f>
        <v>412326199812105449</v>
      </c>
      <c r="D4343" t="str">
        <f>"248030503312"</f>
        <v>248030503312</v>
      </c>
      <c r="L4343">
        <v>5635</v>
      </c>
      <c r="M4343" t="s">
        <v>4800</v>
      </c>
      <c r="N4343" t="str">
        <f>"248030503312"</f>
        <v>248030503312</v>
      </c>
      <c r="O4343" t="str">
        <f>"412326199812105449"</f>
        <v>412326199812105449</v>
      </c>
    </row>
    <row r="4344" customFormat="1" spans="1:15">
      <c r="A4344">
        <v>5636</v>
      </c>
      <c r="B4344" t="s">
        <v>4801</v>
      </c>
      <c r="C4344" t="str">
        <f>"460003199004034212"</f>
        <v>460003199004034212</v>
      </c>
      <c r="L4344">
        <v>5636</v>
      </c>
      <c r="M4344" t="s">
        <v>4801</v>
      </c>
      <c r="O4344" t="str">
        <f>"460003199004034212"</f>
        <v>460003199004034212</v>
      </c>
    </row>
    <row r="4345" customFormat="1" spans="1:15">
      <c r="A4345">
        <v>5637</v>
      </c>
      <c r="B4345" t="s">
        <v>4802</v>
      </c>
      <c r="C4345" t="str">
        <f>"46010320000116002X"</f>
        <v>46010320000116002X</v>
      </c>
      <c r="D4345" t="str">
        <f>"248030101401"</f>
        <v>248030101401</v>
      </c>
      <c r="L4345">
        <v>5637</v>
      </c>
      <c r="M4345" t="s">
        <v>4802</v>
      </c>
      <c r="N4345" t="str">
        <f>"248030101401"</f>
        <v>248030101401</v>
      </c>
      <c r="O4345" t="str">
        <f>"46010320000116002X"</f>
        <v>46010320000116002X</v>
      </c>
    </row>
    <row r="4346" customFormat="1" spans="1:15">
      <c r="A4346">
        <v>5640</v>
      </c>
      <c r="B4346" t="s">
        <v>4803</v>
      </c>
      <c r="C4346" t="str">
        <f>"460003199611207648"</f>
        <v>460003199611207648</v>
      </c>
      <c r="D4346" t="str">
        <f>"248030105012"</f>
        <v>248030105012</v>
      </c>
      <c r="L4346">
        <v>5640</v>
      </c>
      <c r="M4346" t="s">
        <v>4803</v>
      </c>
      <c r="N4346" t="str">
        <f>"248030105012"</f>
        <v>248030105012</v>
      </c>
      <c r="O4346" t="str">
        <f>"460003199611207648"</f>
        <v>460003199611207648</v>
      </c>
    </row>
    <row r="4347" customFormat="1" spans="1:15">
      <c r="A4347">
        <v>5642</v>
      </c>
      <c r="B4347" t="s">
        <v>306</v>
      </c>
      <c r="C4347" t="str">
        <f>"460102198606092123"</f>
        <v>460102198606092123</v>
      </c>
      <c r="D4347" t="str">
        <f>"248030500816"</f>
        <v>248030500816</v>
      </c>
      <c r="L4347">
        <v>5642</v>
      </c>
      <c r="M4347" t="s">
        <v>306</v>
      </c>
      <c r="N4347" t="str">
        <f>"248030500816"</f>
        <v>248030500816</v>
      </c>
      <c r="O4347" t="str">
        <f>"460102198606092123"</f>
        <v>460102198606092123</v>
      </c>
    </row>
    <row r="4348" customFormat="1" spans="1:15">
      <c r="A4348">
        <v>5644</v>
      </c>
      <c r="B4348" t="s">
        <v>4804</v>
      </c>
      <c r="C4348" t="str">
        <f>"32070420000102101X"</f>
        <v>32070420000102101X</v>
      </c>
      <c r="D4348" t="str">
        <f>"248030400721"</f>
        <v>248030400721</v>
      </c>
      <c r="L4348">
        <v>5644</v>
      </c>
      <c r="M4348" t="s">
        <v>4804</v>
      </c>
      <c r="N4348" t="str">
        <f>"248030400721"</f>
        <v>248030400721</v>
      </c>
      <c r="O4348" t="str">
        <f>"32070420000102101X"</f>
        <v>32070420000102101X</v>
      </c>
    </row>
    <row r="4349" customFormat="1" spans="1:15">
      <c r="A4349">
        <v>5645</v>
      </c>
      <c r="B4349" t="s">
        <v>4805</v>
      </c>
      <c r="C4349" t="str">
        <f>"460028199702192848"</f>
        <v>460028199702192848</v>
      </c>
      <c r="L4349">
        <v>5645</v>
      </c>
      <c r="M4349" t="s">
        <v>4805</v>
      </c>
      <c r="O4349" t="str">
        <f>"460028199702192848"</f>
        <v>460028199702192848</v>
      </c>
    </row>
    <row r="4350" customFormat="1" spans="1:15">
      <c r="A4350">
        <v>5646</v>
      </c>
      <c r="B4350" t="s">
        <v>4806</v>
      </c>
      <c r="C4350" t="str">
        <f>"460026199702150928"</f>
        <v>460026199702150928</v>
      </c>
      <c r="L4350">
        <v>5646</v>
      </c>
      <c r="M4350" t="s">
        <v>4806</v>
      </c>
      <c r="O4350" t="str">
        <f>"460026199702150928"</f>
        <v>460026199702150928</v>
      </c>
    </row>
    <row r="4351" customFormat="1" spans="1:15">
      <c r="A4351">
        <v>5649</v>
      </c>
      <c r="B4351" t="s">
        <v>4807</v>
      </c>
      <c r="C4351" t="str">
        <f>"460006200011252968"</f>
        <v>460006200011252968</v>
      </c>
      <c r="D4351" t="str">
        <f>"248030403324"</f>
        <v>248030403324</v>
      </c>
      <c r="L4351">
        <v>5649</v>
      </c>
      <c r="M4351" t="s">
        <v>4807</v>
      </c>
      <c r="N4351" t="str">
        <f>"248030403324"</f>
        <v>248030403324</v>
      </c>
      <c r="O4351" t="str">
        <f>"460006200011252968"</f>
        <v>460006200011252968</v>
      </c>
    </row>
    <row r="4352" customFormat="1" spans="1:15">
      <c r="A4352">
        <v>5650</v>
      </c>
      <c r="B4352" t="s">
        <v>4808</v>
      </c>
      <c r="C4352" t="str">
        <f>"460033199508063322"</f>
        <v>460033199508063322</v>
      </c>
      <c r="D4352" t="str">
        <f>"248030502505"</f>
        <v>248030502505</v>
      </c>
      <c r="L4352">
        <v>5650</v>
      </c>
      <c r="M4352" t="s">
        <v>4808</v>
      </c>
      <c r="N4352" t="str">
        <f>"248030502505"</f>
        <v>248030502505</v>
      </c>
      <c r="O4352" t="str">
        <f>"460033199508063322"</f>
        <v>460033199508063322</v>
      </c>
    </row>
    <row r="4353" customFormat="1" spans="1:15">
      <c r="A4353">
        <v>5651</v>
      </c>
      <c r="B4353" t="s">
        <v>739</v>
      </c>
      <c r="C4353" t="str">
        <f>"460006199912222349"</f>
        <v>460006199912222349</v>
      </c>
      <c r="D4353" t="str">
        <f>"248030203804"</f>
        <v>248030203804</v>
      </c>
      <c r="L4353">
        <v>5651</v>
      </c>
      <c r="M4353" t="s">
        <v>739</v>
      </c>
      <c r="N4353" t="str">
        <f>"248030203804"</f>
        <v>248030203804</v>
      </c>
      <c r="O4353" t="str">
        <f>"460006199912222349"</f>
        <v>460006199912222349</v>
      </c>
    </row>
    <row r="4354" customFormat="1" spans="1:15">
      <c r="A4354">
        <v>5652</v>
      </c>
      <c r="B4354" t="s">
        <v>4809</v>
      </c>
      <c r="C4354" t="str">
        <f>"46002819991211002X"</f>
        <v>46002819991211002X</v>
      </c>
      <c r="D4354" t="str">
        <f>"248030403124"</f>
        <v>248030403124</v>
      </c>
      <c r="L4354">
        <v>5652</v>
      </c>
      <c r="M4354" t="s">
        <v>4809</v>
      </c>
      <c r="N4354" t="str">
        <f>"248030403124"</f>
        <v>248030403124</v>
      </c>
      <c r="O4354" t="str">
        <f>"46002819991211002X"</f>
        <v>46002819991211002X</v>
      </c>
    </row>
    <row r="4355" customFormat="1" spans="1:15">
      <c r="A4355">
        <v>5654</v>
      </c>
      <c r="B4355" t="s">
        <v>4810</v>
      </c>
      <c r="C4355" t="str">
        <f>"460103199308251844"</f>
        <v>460103199308251844</v>
      </c>
      <c r="D4355" t="str">
        <f>"248030403724"</f>
        <v>248030403724</v>
      </c>
      <c r="L4355">
        <v>5654</v>
      </c>
      <c r="M4355" t="s">
        <v>4810</v>
      </c>
      <c r="N4355" t="str">
        <f>"248030403724"</f>
        <v>248030403724</v>
      </c>
      <c r="O4355" t="str">
        <f>"460103199308251844"</f>
        <v>460103199308251844</v>
      </c>
    </row>
    <row r="4356" customFormat="1" spans="1:15">
      <c r="A4356">
        <v>5656</v>
      </c>
      <c r="B4356" t="s">
        <v>4811</v>
      </c>
      <c r="C4356" t="str">
        <f>"421125199901300020"</f>
        <v>421125199901300020</v>
      </c>
      <c r="L4356">
        <v>5656</v>
      </c>
      <c r="M4356" t="s">
        <v>4811</v>
      </c>
      <c r="O4356" t="str">
        <f>"421125199901300020"</f>
        <v>421125199901300020</v>
      </c>
    </row>
    <row r="4357" customFormat="1" spans="1:15">
      <c r="A4357">
        <v>5657</v>
      </c>
      <c r="B4357" t="s">
        <v>4812</v>
      </c>
      <c r="C4357" t="str">
        <f>"469023199708275923"</f>
        <v>469023199708275923</v>
      </c>
      <c r="L4357">
        <v>5657</v>
      </c>
      <c r="M4357" t="s">
        <v>4812</v>
      </c>
      <c r="O4357" t="str">
        <f>"469023199708275923"</f>
        <v>469023199708275923</v>
      </c>
    </row>
    <row r="4358" customFormat="1" spans="1:15">
      <c r="A4358">
        <v>5658</v>
      </c>
      <c r="B4358" t="s">
        <v>4813</v>
      </c>
      <c r="C4358" t="str">
        <f>"460103199312110921"</f>
        <v>460103199312110921</v>
      </c>
      <c r="D4358" t="str">
        <f>"248030101908"</f>
        <v>248030101908</v>
      </c>
      <c r="L4358">
        <v>5658</v>
      </c>
      <c r="M4358" t="s">
        <v>4813</v>
      </c>
      <c r="N4358" t="str">
        <f>"248030101908"</f>
        <v>248030101908</v>
      </c>
      <c r="O4358" t="str">
        <f>"460103199312110921"</f>
        <v>460103199312110921</v>
      </c>
    </row>
    <row r="4359" customFormat="1" spans="1:15">
      <c r="A4359">
        <v>5659</v>
      </c>
      <c r="B4359" t="s">
        <v>4814</v>
      </c>
      <c r="C4359" t="str">
        <f>"460105200206196221"</f>
        <v>460105200206196221</v>
      </c>
      <c r="L4359">
        <v>5659</v>
      </c>
      <c r="M4359" t="s">
        <v>4814</v>
      </c>
      <c r="O4359" t="str">
        <f>"460105200206196221"</f>
        <v>460105200206196221</v>
      </c>
    </row>
    <row r="4360" customFormat="1" spans="1:15">
      <c r="A4360">
        <v>5660</v>
      </c>
      <c r="B4360" t="s">
        <v>1712</v>
      </c>
      <c r="C4360" t="str">
        <f>"460027199112206625"</f>
        <v>460027199112206625</v>
      </c>
      <c r="L4360">
        <v>5660</v>
      </c>
      <c r="M4360" t="s">
        <v>1712</v>
      </c>
      <c r="O4360" t="str">
        <f>"460027199112206625"</f>
        <v>460027199112206625</v>
      </c>
    </row>
    <row r="4361" customFormat="1" spans="1:15">
      <c r="A4361">
        <v>5661</v>
      </c>
      <c r="B4361" t="s">
        <v>4815</v>
      </c>
      <c r="C4361" t="str">
        <f>"460006199303057229"</f>
        <v>460006199303057229</v>
      </c>
      <c r="D4361" t="str">
        <f>"248030102307"</f>
        <v>248030102307</v>
      </c>
      <c r="L4361">
        <v>5661</v>
      </c>
      <c r="M4361" t="s">
        <v>4815</v>
      </c>
      <c r="N4361" t="str">
        <f>"248030102307"</f>
        <v>248030102307</v>
      </c>
      <c r="O4361" t="str">
        <f>"460006199303057229"</f>
        <v>460006199303057229</v>
      </c>
    </row>
    <row r="4362" customFormat="1" spans="1:15">
      <c r="A4362">
        <v>5662</v>
      </c>
      <c r="B4362" t="s">
        <v>4816</v>
      </c>
      <c r="C4362" t="str">
        <f>"460004199508296028"</f>
        <v>460004199508296028</v>
      </c>
      <c r="D4362" t="str">
        <f>"248030104718"</f>
        <v>248030104718</v>
      </c>
      <c r="L4362">
        <v>5662</v>
      </c>
      <c r="M4362" t="s">
        <v>4816</v>
      </c>
      <c r="N4362" t="str">
        <f>"248030104718"</f>
        <v>248030104718</v>
      </c>
      <c r="O4362" t="str">
        <f>"460004199508296028"</f>
        <v>460004199508296028</v>
      </c>
    </row>
    <row r="4363" customFormat="1" spans="1:15">
      <c r="A4363">
        <v>5663</v>
      </c>
      <c r="B4363" t="s">
        <v>4817</v>
      </c>
      <c r="C4363" t="str">
        <f>"460004199902075020"</f>
        <v>460004199902075020</v>
      </c>
      <c r="D4363" t="str">
        <f>"248030102526"</f>
        <v>248030102526</v>
      </c>
      <c r="L4363">
        <v>5663</v>
      </c>
      <c r="M4363" t="s">
        <v>4817</v>
      </c>
      <c r="N4363" t="str">
        <f>"248030102526"</f>
        <v>248030102526</v>
      </c>
      <c r="O4363" t="str">
        <f>"460004199902075020"</f>
        <v>460004199902075020</v>
      </c>
    </row>
    <row r="4364" customFormat="1" spans="1:15">
      <c r="A4364">
        <v>5664</v>
      </c>
      <c r="B4364" t="s">
        <v>701</v>
      </c>
      <c r="C4364" t="str">
        <f>"460028199402244829"</f>
        <v>460028199402244829</v>
      </c>
      <c r="D4364" t="str">
        <f>"248030100601"</f>
        <v>248030100601</v>
      </c>
      <c r="L4364">
        <v>5664</v>
      </c>
      <c r="M4364" t="s">
        <v>701</v>
      </c>
      <c r="N4364" t="str">
        <f>"248030100601"</f>
        <v>248030100601</v>
      </c>
      <c r="O4364" t="str">
        <f>"460028199402244829"</f>
        <v>460028199402244829</v>
      </c>
    </row>
    <row r="4365" customFormat="1" spans="1:15">
      <c r="A4365">
        <v>5666</v>
      </c>
      <c r="B4365" t="s">
        <v>4818</v>
      </c>
      <c r="C4365" t="str">
        <f>"460007200003080867"</f>
        <v>460007200003080867</v>
      </c>
      <c r="L4365">
        <v>5666</v>
      </c>
      <c r="M4365" t="s">
        <v>4818</v>
      </c>
      <c r="O4365" t="str">
        <f>"460007200003080867"</f>
        <v>460007200003080867</v>
      </c>
    </row>
    <row r="4366" customFormat="1" spans="1:15">
      <c r="A4366">
        <v>5667</v>
      </c>
      <c r="B4366" t="s">
        <v>4819</v>
      </c>
      <c r="C4366" t="str">
        <f>"460102199705280917"</f>
        <v>460102199705280917</v>
      </c>
      <c r="D4366" t="str">
        <f>"248030501202"</f>
        <v>248030501202</v>
      </c>
      <c r="L4366">
        <v>5667</v>
      </c>
      <c r="M4366" t="s">
        <v>4819</v>
      </c>
      <c r="N4366" t="str">
        <f>"248030501202"</f>
        <v>248030501202</v>
      </c>
      <c r="O4366" t="str">
        <f>"460102199705280917"</f>
        <v>460102199705280917</v>
      </c>
    </row>
    <row r="4367" customFormat="1" spans="1:15">
      <c r="A4367">
        <v>5668</v>
      </c>
      <c r="B4367" t="s">
        <v>4820</v>
      </c>
      <c r="C4367" t="str">
        <f>"460102199709261828"</f>
        <v>460102199709261828</v>
      </c>
      <c r="D4367" t="str">
        <f>"248030102121"</f>
        <v>248030102121</v>
      </c>
      <c r="L4367">
        <v>5668</v>
      </c>
      <c r="M4367" t="s">
        <v>4820</v>
      </c>
      <c r="N4367" t="str">
        <f>"248030102121"</f>
        <v>248030102121</v>
      </c>
      <c r="O4367" t="str">
        <f>"460102199709261828"</f>
        <v>460102199709261828</v>
      </c>
    </row>
    <row r="4368" customFormat="1" spans="1:15">
      <c r="A4368">
        <v>5669</v>
      </c>
      <c r="B4368" t="s">
        <v>4821</v>
      </c>
      <c r="C4368" t="str">
        <f>"460031199612056824"</f>
        <v>460031199612056824</v>
      </c>
      <c r="D4368" t="str">
        <f>"248030500815"</f>
        <v>248030500815</v>
      </c>
      <c r="L4368">
        <v>5669</v>
      </c>
      <c r="M4368" t="s">
        <v>4821</v>
      </c>
      <c r="N4368" t="str">
        <f>"248030500815"</f>
        <v>248030500815</v>
      </c>
      <c r="O4368" t="str">
        <f>"460031199612056824"</f>
        <v>460031199612056824</v>
      </c>
    </row>
    <row r="4369" customFormat="1" spans="1:15">
      <c r="A4369">
        <v>5671</v>
      </c>
      <c r="B4369" t="s">
        <v>765</v>
      </c>
      <c r="C4369" t="str">
        <f>"460102200102162140"</f>
        <v>460102200102162140</v>
      </c>
      <c r="D4369" t="str">
        <f>"248030302312"</f>
        <v>248030302312</v>
      </c>
      <c r="L4369">
        <v>5671</v>
      </c>
      <c r="M4369" t="s">
        <v>765</v>
      </c>
      <c r="N4369" t="str">
        <f>"248030302312"</f>
        <v>248030302312</v>
      </c>
      <c r="O4369" t="str">
        <f>"460102200102162140"</f>
        <v>460102200102162140</v>
      </c>
    </row>
    <row r="4370" customFormat="1" spans="1:15">
      <c r="A4370">
        <v>5672</v>
      </c>
      <c r="B4370" t="s">
        <v>4822</v>
      </c>
      <c r="C4370" t="str">
        <f>"460004199609153827"</f>
        <v>460004199609153827</v>
      </c>
      <c r="D4370" t="str">
        <f>"248030503419"</f>
        <v>248030503419</v>
      </c>
      <c r="L4370">
        <v>5672</v>
      </c>
      <c r="M4370" t="s">
        <v>4822</v>
      </c>
      <c r="N4370" t="str">
        <f>"248030503419"</f>
        <v>248030503419</v>
      </c>
      <c r="O4370" t="str">
        <f>"460004199609153827"</f>
        <v>460004199609153827</v>
      </c>
    </row>
    <row r="4371" customFormat="1" spans="1:15">
      <c r="A4371">
        <v>5673</v>
      </c>
      <c r="B4371" t="s">
        <v>4823</v>
      </c>
      <c r="C4371" t="str">
        <f>"460104199911051827"</f>
        <v>460104199911051827</v>
      </c>
      <c r="D4371" t="str">
        <f>"248030403820"</f>
        <v>248030403820</v>
      </c>
      <c r="L4371">
        <v>5673</v>
      </c>
      <c r="M4371" t="s">
        <v>4823</v>
      </c>
      <c r="N4371" t="str">
        <f>"248030403820"</f>
        <v>248030403820</v>
      </c>
      <c r="O4371" t="str">
        <f>"460104199911051827"</f>
        <v>460104199911051827</v>
      </c>
    </row>
    <row r="4372" customFormat="1" spans="1:15">
      <c r="A4372">
        <v>5674</v>
      </c>
      <c r="B4372" t="s">
        <v>4824</v>
      </c>
      <c r="C4372" t="str">
        <f>"460006199804222720"</f>
        <v>460006199804222720</v>
      </c>
      <c r="D4372" t="str">
        <f>"248030402710"</f>
        <v>248030402710</v>
      </c>
      <c r="L4372">
        <v>5674</v>
      </c>
      <c r="M4372" t="s">
        <v>4824</v>
      </c>
      <c r="N4372" t="str">
        <f>"248030402710"</f>
        <v>248030402710</v>
      </c>
      <c r="O4372" t="str">
        <f>"460006199804222720"</f>
        <v>460006199804222720</v>
      </c>
    </row>
    <row r="4373" customFormat="1" spans="1:15">
      <c r="A4373">
        <v>5675</v>
      </c>
      <c r="B4373" t="s">
        <v>4825</v>
      </c>
      <c r="C4373" t="str">
        <f>"469023199805085929"</f>
        <v>469023199805085929</v>
      </c>
      <c r="D4373" t="str">
        <f>"248030504204"</f>
        <v>248030504204</v>
      </c>
      <c r="L4373">
        <v>5675</v>
      </c>
      <c r="M4373" t="s">
        <v>4825</v>
      </c>
      <c r="N4373" t="str">
        <f>"248030504204"</f>
        <v>248030504204</v>
      </c>
      <c r="O4373" t="str">
        <f>"469023199805085929"</f>
        <v>469023199805085929</v>
      </c>
    </row>
    <row r="4374" customFormat="1" spans="1:15">
      <c r="A4374">
        <v>5676</v>
      </c>
      <c r="B4374" t="s">
        <v>4826</v>
      </c>
      <c r="C4374" t="str">
        <f>"469005199904112141"</f>
        <v>469005199904112141</v>
      </c>
      <c r="D4374" t="str">
        <f>"248030102811"</f>
        <v>248030102811</v>
      </c>
      <c r="L4374">
        <v>5676</v>
      </c>
      <c r="M4374" t="s">
        <v>4826</v>
      </c>
      <c r="N4374" t="str">
        <f>"248030102811"</f>
        <v>248030102811</v>
      </c>
      <c r="O4374" t="str">
        <f>"469005199904112141"</f>
        <v>469005199904112141</v>
      </c>
    </row>
    <row r="4375" customFormat="1" spans="1:15">
      <c r="A4375">
        <v>5677</v>
      </c>
      <c r="B4375" t="s">
        <v>4827</v>
      </c>
      <c r="C4375" t="str">
        <f>"469027199603034782"</f>
        <v>469027199603034782</v>
      </c>
      <c r="L4375">
        <v>5677</v>
      </c>
      <c r="M4375" t="s">
        <v>4827</v>
      </c>
      <c r="O4375" t="str">
        <f>"469027199603034782"</f>
        <v>469027199603034782</v>
      </c>
    </row>
    <row r="4376" customFormat="1" spans="1:15">
      <c r="A4376">
        <v>5678</v>
      </c>
      <c r="B4376" t="s">
        <v>4828</v>
      </c>
      <c r="C4376" t="str">
        <f>"460004200104246011"</f>
        <v>460004200104246011</v>
      </c>
      <c r="D4376" t="str">
        <f>"248030201502"</f>
        <v>248030201502</v>
      </c>
      <c r="L4376">
        <v>5678</v>
      </c>
      <c r="M4376" t="s">
        <v>4828</v>
      </c>
      <c r="N4376" t="str">
        <f>"248030201502"</f>
        <v>248030201502</v>
      </c>
      <c r="O4376" t="str">
        <f>"460004200104246011"</f>
        <v>460004200104246011</v>
      </c>
    </row>
    <row r="4377" customFormat="1" spans="1:15">
      <c r="A4377">
        <v>5679</v>
      </c>
      <c r="B4377" t="s">
        <v>4829</v>
      </c>
      <c r="C4377" t="str">
        <f>"460003199610233422"</f>
        <v>460003199610233422</v>
      </c>
      <c r="D4377" t="str">
        <f>"248030300919"</f>
        <v>248030300919</v>
      </c>
      <c r="L4377">
        <v>5679</v>
      </c>
      <c r="M4377" t="s">
        <v>4829</v>
      </c>
      <c r="N4377" t="str">
        <f>"248030300919"</f>
        <v>248030300919</v>
      </c>
      <c r="O4377" t="str">
        <f>"460003199610233422"</f>
        <v>460003199610233422</v>
      </c>
    </row>
    <row r="4378" customFormat="1" spans="1:15">
      <c r="A4378">
        <v>5680</v>
      </c>
      <c r="B4378" t="s">
        <v>4830</v>
      </c>
      <c r="C4378" t="str">
        <f>"230421199207170427"</f>
        <v>230421199207170427</v>
      </c>
      <c r="L4378">
        <v>5680</v>
      </c>
      <c r="M4378" t="s">
        <v>4830</v>
      </c>
      <c r="O4378" t="str">
        <f>"230421199207170427"</f>
        <v>230421199207170427</v>
      </c>
    </row>
    <row r="4379" customFormat="1" spans="1:15">
      <c r="A4379">
        <v>5681</v>
      </c>
      <c r="B4379" t="s">
        <v>4831</v>
      </c>
      <c r="C4379" t="str">
        <f>"460003199210152041"</f>
        <v>460003199210152041</v>
      </c>
      <c r="D4379" t="str">
        <f>"248030302107"</f>
        <v>248030302107</v>
      </c>
      <c r="L4379">
        <v>5681</v>
      </c>
      <c r="M4379" t="s">
        <v>4831</v>
      </c>
      <c r="N4379" t="str">
        <f>"248030302107"</f>
        <v>248030302107</v>
      </c>
      <c r="O4379" t="str">
        <f>"460003199210152041"</f>
        <v>460003199210152041</v>
      </c>
    </row>
    <row r="4380" customFormat="1" spans="1:15">
      <c r="A4380">
        <v>5682</v>
      </c>
      <c r="B4380" t="s">
        <v>4832</v>
      </c>
      <c r="C4380" t="str">
        <f>"460003200203208129"</f>
        <v>460003200203208129</v>
      </c>
      <c r="D4380" t="str">
        <f>"248030301325"</f>
        <v>248030301325</v>
      </c>
      <c r="L4380">
        <v>5682</v>
      </c>
      <c r="M4380" t="s">
        <v>4832</v>
      </c>
      <c r="N4380" t="str">
        <f>"248030301325"</f>
        <v>248030301325</v>
      </c>
      <c r="O4380" t="str">
        <f>"460003200203208129"</f>
        <v>460003200203208129</v>
      </c>
    </row>
    <row r="4381" customFormat="1" spans="1:15">
      <c r="A4381">
        <v>5683</v>
      </c>
      <c r="B4381" t="s">
        <v>4833</v>
      </c>
      <c r="C4381" t="str">
        <f>"460003199701190026"</f>
        <v>460003199701190026</v>
      </c>
      <c r="D4381" t="str">
        <f>"248030202806"</f>
        <v>248030202806</v>
      </c>
      <c r="L4381">
        <v>5683</v>
      </c>
      <c r="M4381" t="s">
        <v>4833</v>
      </c>
      <c r="N4381" t="str">
        <f>"248030202806"</f>
        <v>248030202806</v>
      </c>
      <c r="O4381" t="str">
        <f>"460003199701190026"</f>
        <v>460003199701190026</v>
      </c>
    </row>
    <row r="4382" customFormat="1" spans="1:15">
      <c r="A4382">
        <v>5684</v>
      </c>
      <c r="B4382" t="s">
        <v>4834</v>
      </c>
      <c r="C4382" t="str">
        <f>"460033199506164840"</f>
        <v>460033199506164840</v>
      </c>
      <c r="D4382" t="str">
        <f>"248030104021"</f>
        <v>248030104021</v>
      </c>
      <c r="L4382">
        <v>5684</v>
      </c>
      <c r="M4382" t="s">
        <v>4834</v>
      </c>
      <c r="N4382" t="str">
        <f>"248030104021"</f>
        <v>248030104021</v>
      </c>
      <c r="O4382" t="str">
        <f>"460033199506164840"</f>
        <v>460033199506164840</v>
      </c>
    </row>
    <row r="4383" customFormat="1" spans="1:15">
      <c r="A4383">
        <v>5686</v>
      </c>
      <c r="B4383" t="s">
        <v>4835</v>
      </c>
      <c r="C4383" t="str">
        <f>"440883199703232973"</f>
        <v>440883199703232973</v>
      </c>
      <c r="D4383" t="str">
        <f>"248030202020"</f>
        <v>248030202020</v>
      </c>
      <c r="L4383">
        <v>5686</v>
      </c>
      <c r="M4383" t="s">
        <v>4835</v>
      </c>
      <c r="N4383" t="str">
        <f>"248030202020"</f>
        <v>248030202020</v>
      </c>
      <c r="O4383" t="str">
        <f>"440883199703232973"</f>
        <v>440883199703232973</v>
      </c>
    </row>
    <row r="4384" customFormat="1" spans="1:15">
      <c r="A4384">
        <v>5687</v>
      </c>
      <c r="B4384" t="s">
        <v>2181</v>
      </c>
      <c r="C4384" t="str">
        <f>"46000620010522372X"</f>
        <v>46000620010522372X</v>
      </c>
      <c r="D4384" t="str">
        <f>"248030302308"</f>
        <v>248030302308</v>
      </c>
      <c r="L4384">
        <v>5687</v>
      </c>
      <c r="M4384" t="s">
        <v>2181</v>
      </c>
      <c r="N4384" t="str">
        <f>"248030302308"</f>
        <v>248030302308</v>
      </c>
      <c r="O4384" t="str">
        <f>"46000620010522372X"</f>
        <v>46000620010522372X</v>
      </c>
    </row>
    <row r="4385" customFormat="1" spans="1:15">
      <c r="A4385">
        <v>5688</v>
      </c>
      <c r="B4385" t="s">
        <v>4836</v>
      </c>
      <c r="C4385" t="str">
        <f>"46000319910129266X"</f>
        <v>46000319910129266X</v>
      </c>
      <c r="D4385" t="str">
        <f>"248030101425"</f>
        <v>248030101425</v>
      </c>
      <c r="L4385">
        <v>5688</v>
      </c>
      <c r="M4385" t="s">
        <v>4836</v>
      </c>
      <c r="N4385" t="str">
        <f>"248030101425"</f>
        <v>248030101425</v>
      </c>
      <c r="O4385" t="str">
        <f>"46000319910129266X"</f>
        <v>46000319910129266X</v>
      </c>
    </row>
    <row r="4386" customFormat="1" spans="1:15">
      <c r="A4386">
        <v>5689</v>
      </c>
      <c r="B4386" t="s">
        <v>4837</v>
      </c>
      <c r="C4386" t="str">
        <f>"460002199703122020"</f>
        <v>460002199703122020</v>
      </c>
      <c r="D4386" t="str">
        <f>"248030102017"</f>
        <v>248030102017</v>
      </c>
      <c r="L4386">
        <v>5689</v>
      </c>
      <c r="M4386" t="s">
        <v>4837</v>
      </c>
      <c r="N4386" t="str">
        <f>"248030102017"</f>
        <v>248030102017</v>
      </c>
      <c r="O4386" t="str">
        <f>"460002199703122020"</f>
        <v>460002199703122020</v>
      </c>
    </row>
    <row r="4387" customFormat="1" spans="1:15">
      <c r="A4387">
        <v>5691</v>
      </c>
      <c r="B4387" t="s">
        <v>4838</v>
      </c>
      <c r="C4387" t="str">
        <f>"460003199605170041"</f>
        <v>460003199605170041</v>
      </c>
      <c r="D4387" t="str">
        <f>"248030104024"</f>
        <v>248030104024</v>
      </c>
      <c r="L4387">
        <v>5691</v>
      </c>
      <c r="M4387" t="s">
        <v>4838</v>
      </c>
      <c r="N4387" t="str">
        <f>"248030104024"</f>
        <v>248030104024</v>
      </c>
      <c r="O4387" t="str">
        <f>"460003199605170041"</f>
        <v>460003199605170041</v>
      </c>
    </row>
    <row r="4388" customFormat="1" spans="1:15">
      <c r="A4388">
        <v>5693</v>
      </c>
      <c r="B4388" t="s">
        <v>4839</v>
      </c>
      <c r="C4388" t="str">
        <f>"460200200202284463"</f>
        <v>460200200202284463</v>
      </c>
      <c r="D4388" t="str">
        <f>"248030400325"</f>
        <v>248030400325</v>
      </c>
      <c r="L4388">
        <v>5693</v>
      </c>
      <c r="M4388" t="s">
        <v>4839</v>
      </c>
      <c r="N4388" t="str">
        <f>"248030400325"</f>
        <v>248030400325</v>
      </c>
      <c r="O4388" t="str">
        <f>"460200200202284463"</f>
        <v>460200200202284463</v>
      </c>
    </row>
    <row r="4389" customFormat="1" spans="1:15">
      <c r="A4389">
        <v>5694</v>
      </c>
      <c r="B4389" t="s">
        <v>4840</v>
      </c>
      <c r="C4389" t="str">
        <f>"430481199710060077"</f>
        <v>430481199710060077</v>
      </c>
      <c r="D4389" t="str">
        <f>"248030201524"</f>
        <v>248030201524</v>
      </c>
      <c r="L4389">
        <v>5694</v>
      </c>
      <c r="M4389" t="s">
        <v>4840</v>
      </c>
      <c r="N4389" t="str">
        <f>"248030201524"</f>
        <v>248030201524</v>
      </c>
      <c r="O4389" t="str">
        <f>"430481199710060077"</f>
        <v>430481199710060077</v>
      </c>
    </row>
    <row r="4390" customFormat="1" spans="1:15">
      <c r="A4390">
        <v>5696</v>
      </c>
      <c r="B4390" t="s">
        <v>4841</v>
      </c>
      <c r="C4390" t="str">
        <f>"460102199710193324"</f>
        <v>460102199710193324</v>
      </c>
      <c r="D4390" t="str">
        <f>"248030103315"</f>
        <v>248030103315</v>
      </c>
      <c r="L4390">
        <v>5696</v>
      </c>
      <c r="M4390" t="s">
        <v>4841</v>
      </c>
      <c r="N4390" t="str">
        <f>"248030103315"</f>
        <v>248030103315</v>
      </c>
      <c r="O4390" t="str">
        <f>"460102199710193324"</f>
        <v>460102199710193324</v>
      </c>
    </row>
    <row r="4391" customFormat="1" spans="1:15">
      <c r="A4391">
        <v>5697</v>
      </c>
      <c r="B4391" t="s">
        <v>4842</v>
      </c>
      <c r="C4391" t="str">
        <f>"460028199008100069"</f>
        <v>460028199008100069</v>
      </c>
      <c r="D4391" t="str">
        <f>"248030501429"</f>
        <v>248030501429</v>
      </c>
      <c r="L4391">
        <v>5697</v>
      </c>
      <c r="M4391" t="s">
        <v>4842</v>
      </c>
      <c r="N4391" t="str">
        <f>"248030501429"</f>
        <v>248030501429</v>
      </c>
      <c r="O4391" t="str">
        <f>"460028199008100069"</f>
        <v>460028199008100069</v>
      </c>
    </row>
    <row r="4392" customFormat="1" spans="1:15">
      <c r="A4392">
        <v>5698</v>
      </c>
      <c r="B4392" t="s">
        <v>4843</v>
      </c>
      <c r="C4392" t="str">
        <f>"46010219991206183X"</f>
        <v>46010219991206183X</v>
      </c>
      <c r="D4392" t="str">
        <f>"248030402806"</f>
        <v>248030402806</v>
      </c>
      <c r="L4392">
        <v>5698</v>
      </c>
      <c r="M4392" t="s">
        <v>4843</v>
      </c>
      <c r="N4392" t="str">
        <f>"248030402806"</f>
        <v>248030402806</v>
      </c>
      <c r="O4392" t="str">
        <f>"46010219991206183X"</f>
        <v>46010219991206183X</v>
      </c>
    </row>
    <row r="4393" customFormat="1" spans="1:15">
      <c r="A4393">
        <v>5699</v>
      </c>
      <c r="B4393" t="s">
        <v>4844</v>
      </c>
      <c r="C4393" t="str">
        <f>"460007200204085381"</f>
        <v>460007200204085381</v>
      </c>
      <c r="D4393" t="str">
        <f>"248030504023"</f>
        <v>248030504023</v>
      </c>
      <c r="L4393">
        <v>5699</v>
      </c>
      <c r="M4393" t="s">
        <v>4844</v>
      </c>
      <c r="N4393" t="str">
        <f>"248030504023"</f>
        <v>248030504023</v>
      </c>
      <c r="O4393" t="str">
        <f>"460007200204085381"</f>
        <v>460007200204085381</v>
      </c>
    </row>
    <row r="4394" customFormat="1" spans="1:15">
      <c r="A4394">
        <v>5700</v>
      </c>
      <c r="B4394" t="s">
        <v>4845</v>
      </c>
      <c r="C4394" t="str">
        <f>"460002200001284928"</f>
        <v>460002200001284928</v>
      </c>
      <c r="D4394" t="str">
        <f>"248030300924"</f>
        <v>248030300924</v>
      </c>
      <c r="L4394">
        <v>5700</v>
      </c>
      <c r="M4394" t="s">
        <v>4845</v>
      </c>
      <c r="N4394" t="str">
        <f>"248030300924"</f>
        <v>248030300924</v>
      </c>
      <c r="O4394" t="str">
        <f>"460002200001284928"</f>
        <v>460002200001284928</v>
      </c>
    </row>
    <row r="4395" customFormat="1" spans="1:15">
      <c r="A4395">
        <v>5701</v>
      </c>
      <c r="B4395" t="s">
        <v>4846</v>
      </c>
      <c r="C4395" t="str">
        <f>"21062320010130068X"</f>
        <v>21062320010130068X</v>
      </c>
      <c r="L4395">
        <v>5701</v>
      </c>
      <c r="M4395" t="s">
        <v>4846</v>
      </c>
      <c r="O4395" t="str">
        <f>"21062320010130068X"</f>
        <v>21062320010130068X</v>
      </c>
    </row>
    <row r="4396" customFormat="1" spans="1:15">
      <c r="A4396">
        <v>5703</v>
      </c>
      <c r="B4396" t="s">
        <v>4847</v>
      </c>
      <c r="C4396" t="str">
        <f>"460106199610013440"</f>
        <v>460106199610013440</v>
      </c>
      <c r="D4396" t="str">
        <f>"248030102118"</f>
        <v>248030102118</v>
      </c>
      <c r="L4396">
        <v>5703</v>
      </c>
      <c r="M4396" t="s">
        <v>4847</v>
      </c>
      <c r="N4396" t="str">
        <f>"248030102118"</f>
        <v>248030102118</v>
      </c>
      <c r="O4396" t="str">
        <f>"460106199610013440"</f>
        <v>460106199610013440</v>
      </c>
    </row>
    <row r="4397" customFormat="1" spans="1:15">
      <c r="A4397">
        <v>5705</v>
      </c>
      <c r="B4397" t="s">
        <v>4848</v>
      </c>
      <c r="C4397" t="str">
        <f>"620402199709060045"</f>
        <v>620402199709060045</v>
      </c>
      <c r="D4397" t="str">
        <f>"248030103227"</f>
        <v>248030103227</v>
      </c>
      <c r="L4397">
        <v>5705</v>
      </c>
      <c r="M4397" t="s">
        <v>4848</v>
      </c>
      <c r="N4397" t="str">
        <f>"248030103227"</f>
        <v>248030103227</v>
      </c>
      <c r="O4397" t="str">
        <f>"620402199709060045"</f>
        <v>620402199709060045</v>
      </c>
    </row>
    <row r="4398" customFormat="1" spans="1:15">
      <c r="A4398">
        <v>5706</v>
      </c>
      <c r="B4398" t="s">
        <v>4849</v>
      </c>
      <c r="C4398" t="str">
        <f>"460026199909260948"</f>
        <v>460026199909260948</v>
      </c>
      <c r="D4398" t="str">
        <f>"248030500222"</f>
        <v>248030500222</v>
      </c>
      <c r="L4398">
        <v>5706</v>
      </c>
      <c r="M4398" t="s">
        <v>4849</v>
      </c>
      <c r="N4398" t="str">
        <f>"248030500222"</f>
        <v>248030500222</v>
      </c>
      <c r="O4398" t="str">
        <f>"460026199909260948"</f>
        <v>460026199909260948</v>
      </c>
    </row>
    <row r="4399" customFormat="1" spans="1:15">
      <c r="A4399">
        <v>5707</v>
      </c>
      <c r="B4399" t="s">
        <v>4850</v>
      </c>
      <c r="C4399" t="str">
        <f>"460028199303155249"</f>
        <v>460028199303155249</v>
      </c>
      <c r="D4399" t="str">
        <f>"248030102623"</f>
        <v>248030102623</v>
      </c>
      <c r="L4399">
        <v>5707</v>
      </c>
      <c r="M4399" t="s">
        <v>4850</v>
      </c>
      <c r="N4399" t="str">
        <f>"248030102623"</f>
        <v>248030102623</v>
      </c>
      <c r="O4399" t="str">
        <f>"460028199303155249"</f>
        <v>460028199303155249</v>
      </c>
    </row>
    <row r="4400" customFormat="1" spans="1:15">
      <c r="A4400">
        <v>5708</v>
      </c>
      <c r="B4400" t="s">
        <v>4851</v>
      </c>
      <c r="C4400" t="str">
        <f>"460032199703286226"</f>
        <v>460032199703286226</v>
      </c>
      <c r="D4400" t="str">
        <f>"248030403509"</f>
        <v>248030403509</v>
      </c>
      <c r="L4400">
        <v>5708</v>
      </c>
      <c r="M4400" t="s">
        <v>4851</v>
      </c>
      <c r="N4400" t="str">
        <f>"248030403509"</f>
        <v>248030403509</v>
      </c>
      <c r="O4400" t="str">
        <f>"460032199703286226"</f>
        <v>460032199703286226</v>
      </c>
    </row>
    <row r="4401" customFormat="1" spans="1:15">
      <c r="A4401">
        <v>5709</v>
      </c>
      <c r="B4401" t="s">
        <v>4852</v>
      </c>
      <c r="C4401" t="str">
        <f>"810000199605300084"</f>
        <v>810000199605300084</v>
      </c>
      <c r="D4401" t="str">
        <f>"248030104526"</f>
        <v>248030104526</v>
      </c>
      <c r="L4401">
        <v>5709</v>
      </c>
      <c r="M4401" t="s">
        <v>4852</v>
      </c>
      <c r="N4401" t="str">
        <f>"248030104526"</f>
        <v>248030104526</v>
      </c>
      <c r="O4401" t="str">
        <f>"810000199605300084"</f>
        <v>810000199605300084</v>
      </c>
    </row>
    <row r="4402" customFormat="1" spans="1:15">
      <c r="A4402">
        <v>5710</v>
      </c>
      <c r="B4402" t="s">
        <v>4853</v>
      </c>
      <c r="C4402" t="str">
        <f>"460004199605061423"</f>
        <v>460004199605061423</v>
      </c>
      <c r="D4402" t="str">
        <f>"248030302701"</f>
        <v>248030302701</v>
      </c>
      <c r="L4402">
        <v>5710</v>
      </c>
      <c r="M4402" t="s">
        <v>4853</v>
      </c>
      <c r="N4402" t="str">
        <f>"248030302701"</f>
        <v>248030302701</v>
      </c>
      <c r="O4402" t="str">
        <f>"460004199605061423"</f>
        <v>460004199605061423</v>
      </c>
    </row>
    <row r="4403" customFormat="1" spans="1:15">
      <c r="A4403">
        <v>5711</v>
      </c>
      <c r="B4403" t="s">
        <v>4854</v>
      </c>
      <c r="C4403" t="str">
        <f>"460200200007141408"</f>
        <v>460200200007141408</v>
      </c>
      <c r="L4403">
        <v>5711</v>
      </c>
      <c r="M4403" t="s">
        <v>4854</v>
      </c>
      <c r="O4403" t="str">
        <f>"460200200007141408"</f>
        <v>460200200007141408</v>
      </c>
    </row>
    <row r="4404" customFormat="1" spans="1:15">
      <c r="A4404">
        <v>5712</v>
      </c>
      <c r="B4404" t="s">
        <v>4855</v>
      </c>
      <c r="C4404" t="str">
        <f>"460003199905311424"</f>
        <v>460003199905311424</v>
      </c>
      <c r="D4404" t="str">
        <f>"248030402916"</f>
        <v>248030402916</v>
      </c>
      <c r="L4404">
        <v>5712</v>
      </c>
      <c r="M4404" t="s">
        <v>4855</v>
      </c>
      <c r="N4404" t="str">
        <f>"248030402916"</f>
        <v>248030402916</v>
      </c>
      <c r="O4404" t="str">
        <f>"460003199905311424"</f>
        <v>460003199905311424</v>
      </c>
    </row>
    <row r="4405" customFormat="1" spans="1:15">
      <c r="A4405">
        <v>5714</v>
      </c>
      <c r="B4405" t="s">
        <v>4856</v>
      </c>
      <c r="C4405" t="str">
        <f>"460102199308300320"</f>
        <v>460102199308300320</v>
      </c>
      <c r="D4405" t="str">
        <f>"248030104926"</f>
        <v>248030104926</v>
      </c>
      <c r="L4405">
        <v>5714</v>
      </c>
      <c r="M4405" t="s">
        <v>4856</v>
      </c>
      <c r="N4405" t="str">
        <f>"248030104926"</f>
        <v>248030104926</v>
      </c>
      <c r="O4405" t="str">
        <f>"460102199308300320"</f>
        <v>460102199308300320</v>
      </c>
    </row>
    <row r="4406" customFormat="1" spans="1:15">
      <c r="A4406">
        <v>5715</v>
      </c>
      <c r="B4406" t="s">
        <v>4857</v>
      </c>
      <c r="C4406" t="str">
        <f>"460007200002104126"</f>
        <v>460007200002104126</v>
      </c>
      <c r="D4406" t="str">
        <f>"248030501721"</f>
        <v>248030501721</v>
      </c>
      <c r="L4406">
        <v>5715</v>
      </c>
      <c r="M4406" t="s">
        <v>4857</v>
      </c>
      <c r="N4406" t="str">
        <f>"248030501721"</f>
        <v>248030501721</v>
      </c>
      <c r="O4406" t="str">
        <f>"460007200002104126"</f>
        <v>460007200002104126</v>
      </c>
    </row>
    <row r="4407" customFormat="1" spans="1:15">
      <c r="A4407">
        <v>5716</v>
      </c>
      <c r="B4407" t="s">
        <v>4858</v>
      </c>
      <c r="C4407" t="str">
        <f>"469007199707100822"</f>
        <v>469007199707100822</v>
      </c>
      <c r="D4407" t="str">
        <f>"248030501204"</f>
        <v>248030501204</v>
      </c>
      <c r="L4407">
        <v>5716</v>
      </c>
      <c r="M4407" t="s">
        <v>4858</v>
      </c>
      <c r="N4407" t="str">
        <f>"248030501204"</f>
        <v>248030501204</v>
      </c>
      <c r="O4407" t="str">
        <f>"469007199707100822"</f>
        <v>469007199707100822</v>
      </c>
    </row>
    <row r="4408" customFormat="1" spans="1:15">
      <c r="A4408">
        <v>5718</v>
      </c>
      <c r="B4408" t="s">
        <v>4859</v>
      </c>
      <c r="C4408" t="str">
        <f>"460004200004270014"</f>
        <v>460004200004270014</v>
      </c>
      <c r="D4408" t="str">
        <f>"248030200209"</f>
        <v>248030200209</v>
      </c>
      <c r="L4408">
        <v>5718</v>
      </c>
      <c r="M4408" t="s">
        <v>4859</v>
      </c>
      <c r="N4408" t="str">
        <f>"248030200209"</f>
        <v>248030200209</v>
      </c>
      <c r="O4408" t="str">
        <f>"460004200004270014"</f>
        <v>460004200004270014</v>
      </c>
    </row>
    <row r="4409" customFormat="1" spans="1:15">
      <c r="A4409">
        <v>5720</v>
      </c>
      <c r="B4409" t="s">
        <v>4860</v>
      </c>
      <c r="C4409" t="str">
        <f>"460103199410180325"</f>
        <v>460103199410180325</v>
      </c>
      <c r="D4409" t="str">
        <f>"248030203116"</f>
        <v>248030203116</v>
      </c>
      <c r="L4409">
        <v>5720</v>
      </c>
      <c r="M4409" t="s">
        <v>4860</v>
      </c>
      <c r="N4409" t="str">
        <f>"248030203116"</f>
        <v>248030203116</v>
      </c>
      <c r="O4409" t="str">
        <f>"460103199410180325"</f>
        <v>460103199410180325</v>
      </c>
    </row>
    <row r="4410" customFormat="1" spans="1:15">
      <c r="A4410">
        <v>5722</v>
      </c>
      <c r="B4410" t="s">
        <v>4861</v>
      </c>
      <c r="C4410" t="str">
        <f>"230403199506200822"</f>
        <v>230403199506200822</v>
      </c>
      <c r="L4410">
        <v>5722</v>
      </c>
      <c r="M4410" t="s">
        <v>4861</v>
      </c>
      <c r="O4410" t="str">
        <f>"230403199506200822"</f>
        <v>230403199506200822</v>
      </c>
    </row>
    <row r="4411" customFormat="1" spans="1:15">
      <c r="A4411">
        <v>5723</v>
      </c>
      <c r="B4411" t="s">
        <v>1356</v>
      </c>
      <c r="C4411" t="str">
        <f>"460027199709102642"</f>
        <v>460027199709102642</v>
      </c>
      <c r="D4411" t="str">
        <f>"248030104802"</f>
        <v>248030104802</v>
      </c>
      <c r="L4411">
        <v>5723</v>
      </c>
      <c r="M4411" t="s">
        <v>1356</v>
      </c>
      <c r="N4411" t="str">
        <f>"248030104802"</f>
        <v>248030104802</v>
      </c>
      <c r="O4411" t="str">
        <f>"460027199709102642"</f>
        <v>460027199709102642</v>
      </c>
    </row>
    <row r="4412" customFormat="1" spans="1:15">
      <c r="A4412">
        <v>5724</v>
      </c>
      <c r="B4412" t="s">
        <v>4862</v>
      </c>
      <c r="C4412" t="str">
        <f>"460007199607206242"</f>
        <v>460007199607206242</v>
      </c>
      <c r="D4412" t="str">
        <f>"248030103002"</f>
        <v>248030103002</v>
      </c>
      <c r="L4412">
        <v>5724</v>
      </c>
      <c r="M4412" t="s">
        <v>4862</v>
      </c>
      <c r="N4412" t="str">
        <f>"248030103002"</f>
        <v>248030103002</v>
      </c>
      <c r="O4412" t="str">
        <f>"460007199607206242"</f>
        <v>460007199607206242</v>
      </c>
    </row>
    <row r="4413" customFormat="1" spans="1:15">
      <c r="A4413">
        <v>5725</v>
      </c>
      <c r="B4413" t="s">
        <v>4317</v>
      </c>
      <c r="C4413" t="str">
        <f>"460102198905073029"</f>
        <v>460102198905073029</v>
      </c>
      <c r="D4413" t="str">
        <f>"248030102807"</f>
        <v>248030102807</v>
      </c>
      <c r="L4413">
        <v>5725</v>
      </c>
      <c r="M4413" t="s">
        <v>4317</v>
      </c>
      <c r="N4413" t="str">
        <f>"248030102807"</f>
        <v>248030102807</v>
      </c>
      <c r="O4413" t="str">
        <f>"460102198905073029"</f>
        <v>460102198905073029</v>
      </c>
    </row>
    <row r="4414" customFormat="1" spans="1:15">
      <c r="A4414">
        <v>5726</v>
      </c>
      <c r="B4414" t="s">
        <v>4863</v>
      </c>
      <c r="C4414" t="str">
        <f>"460005200108222742"</f>
        <v>460005200108222742</v>
      </c>
      <c r="D4414" t="str">
        <f>"248030504014"</f>
        <v>248030504014</v>
      </c>
      <c r="L4414">
        <v>5726</v>
      </c>
      <c r="M4414" t="s">
        <v>4863</v>
      </c>
      <c r="N4414" t="str">
        <f>"248030504014"</f>
        <v>248030504014</v>
      </c>
      <c r="O4414" t="str">
        <f>"460005200108222742"</f>
        <v>460005200108222742</v>
      </c>
    </row>
    <row r="4415" customFormat="1" spans="1:15">
      <c r="A4415">
        <v>5727</v>
      </c>
      <c r="B4415" t="s">
        <v>4864</v>
      </c>
      <c r="C4415" t="str">
        <f>"460007199901184961"</f>
        <v>460007199901184961</v>
      </c>
      <c r="D4415" t="str">
        <f>"248030102621"</f>
        <v>248030102621</v>
      </c>
      <c r="L4415">
        <v>5727</v>
      </c>
      <c r="M4415" t="s">
        <v>4864</v>
      </c>
      <c r="N4415" t="str">
        <f>"248030102621"</f>
        <v>248030102621</v>
      </c>
      <c r="O4415" t="str">
        <f>"460007199901184961"</f>
        <v>460007199901184961</v>
      </c>
    </row>
    <row r="4416" customFormat="1" spans="1:15">
      <c r="A4416">
        <v>5729</v>
      </c>
      <c r="B4416" t="s">
        <v>4865</v>
      </c>
      <c r="C4416" t="str">
        <f>"370103199305110024"</f>
        <v>370103199305110024</v>
      </c>
      <c r="L4416">
        <v>5729</v>
      </c>
      <c r="M4416" t="s">
        <v>4865</v>
      </c>
      <c r="O4416" t="str">
        <f>"370103199305110024"</f>
        <v>370103199305110024</v>
      </c>
    </row>
    <row r="4417" customFormat="1" spans="1:15">
      <c r="A4417">
        <v>5730</v>
      </c>
      <c r="B4417" t="s">
        <v>4866</v>
      </c>
      <c r="C4417" t="str">
        <f>"46000320000429022X"</f>
        <v>46000320000429022X</v>
      </c>
      <c r="D4417" t="str">
        <f>"248030500211"</f>
        <v>248030500211</v>
      </c>
      <c r="L4417">
        <v>5730</v>
      </c>
      <c r="M4417" t="s">
        <v>4866</v>
      </c>
      <c r="N4417" t="str">
        <f>"248030500211"</f>
        <v>248030500211</v>
      </c>
      <c r="O4417" t="str">
        <f>"46000320000429022X"</f>
        <v>46000320000429022X</v>
      </c>
    </row>
    <row r="4418" customFormat="1" spans="1:15">
      <c r="A4418">
        <v>5731</v>
      </c>
      <c r="B4418" t="s">
        <v>4867</v>
      </c>
      <c r="C4418" t="str">
        <f>"469026199903086828"</f>
        <v>469026199903086828</v>
      </c>
      <c r="D4418" t="str">
        <f>"248030100107"</f>
        <v>248030100107</v>
      </c>
      <c r="L4418">
        <v>5731</v>
      </c>
      <c r="M4418" t="s">
        <v>4867</v>
      </c>
      <c r="N4418" t="str">
        <f>"248030100107"</f>
        <v>248030100107</v>
      </c>
      <c r="O4418" t="str">
        <f>"469026199903086828"</f>
        <v>469026199903086828</v>
      </c>
    </row>
    <row r="4419" customFormat="1" spans="1:15">
      <c r="A4419">
        <v>5732</v>
      </c>
      <c r="B4419" t="s">
        <v>4868</v>
      </c>
      <c r="C4419" t="str">
        <f>"460104199707100329"</f>
        <v>460104199707100329</v>
      </c>
      <c r="D4419" t="str">
        <f>"248030403419"</f>
        <v>248030403419</v>
      </c>
      <c r="L4419">
        <v>5732</v>
      </c>
      <c r="M4419" t="s">
        <v>4868</v>
      </c>
      <c r="N4419" t="str">
        <f>"248030403419"</f>
        <v>248030403419</v>
      </c>
      <c r="O4419" t="str">
        <f>"460104199707100329"</f>
        <v>460104199707100329</v>
      </c>
    </row>
    <row r="4420" customFormat="1" spans="1:15">
      <c r="A4420">
        <v>5733</v>
      </c>
      <c r="B4420" t="s">
        <v>2467</v>
      </c>
      <c r="C4420" t="str">
        <f>"460006199902058725"</f>
        <v>460006199902058725</v>
      </c>
      <c r="D4420" t="str">
        <f>"248030500203"</f>
        <v>248030500203</v>
      </c>
      <c r="L4420">
        <v>5733</v>
      </c>
      <c r="M4420" t="s">
        <v>2467</v>
      </c>
      <c r="N4420" t="str">
        <f>"248030500203"</f>
        <v>248030500203</v>
      </c>
      <c r="O4420" t="str">
        <f>"460006199902058725"</f>
        <v>460006199902058725</v>
      </c>
    </row>
    <row r="4421" customFormat="1" spans="1:15">
      <c r="A4421">
        <v>5734</v>
      </c>
      <c r="B4421" t="s">
        <v>4869</v>
      </c>
      <c r="C4421" t="str">
        <f>"460003200105134023"</f>
        <v>460003200105134023</v>
      </c>
      <c r="D4421" t="str">
        <f>"248030401004"</f>
        <v>248030401004</v>
      </c>
      <c r="L4421">
        <v>5734</v>
      </c>
      <c r="M4421" t="s">
        <v>4869</v>
      </c>
      <c r="N4421" t="str">
        <f>"248030401004"</f>
        <v>248030401004</v>
      </c>
      <c r="O4421" t="str">
        <f>"460003200105134023"</f>
        <v>460003200105134023</v>
      </c>
    </row>
    <row r="4422" customFormat="1" spans="1:15">
      <c r="A4422">
        <v>5735</v>
      </c>
      <c r="B4422" t="s">
        <v>4870</v>
      </c>
      <c r="C4422" t="str">
        <f>"410311199511121529"</f>
        <v>410311199511121529</v>
      </c>
      <c r="D4422" t="str">
        <f>"248030202120"</f>
        <v>248030202120</v>
      </c>
      <c r="L4422">
        <v>5735</v>
      </c>
      <c r="M4422" t="s">
        <v>4870</v>
      </c>
      <c r="N4422" t="str">
        <f>"248030202120"</f>
        <v>248030202120</v>
      </c>
      <c r="O4422" t="str">
        <f>"410311199511121529"</f>
        <v>410311199511121529</v>
      </c>
    </row>
    <row r="4423" customFormat="1" spans="1:15">
      <c r="A4423">
        <v>5736</v>
      </c>
      <c r="B4423" t="s">
        <v>4871</v>
      </c>
      <c r="C4423" t="str">
        <f>"460031200108074420"</f>
        <v>460031200108074420</v>
      </c>
      <c r="L4423">
        <v>5736</v>
      </c>
      <c r="M4423" t="s">
        <v>4871</v>
      </c>
      <c r="O4423" t="str">
        <f>"460031200108074420"</f>
        <v>460031200108074420</v>
      </c>
    </row>
    <row r="4424" customFormat="1" spans="1:15">
      <c r="A4424">
        <v>5737</v>
      </c>
      <c r="B4424" t="s">
        <v>4872</v>
      </c>
      <c r="C4424" t="str">
        <f>"450331199506210028"</f>
        <v>450331199506210028</v>
      </c>
      <c r="D4424" t="str">
        <f>"248030301423"</f>
        <v>248030301423</v>
      </c>
      <c r="L4424">
        <v>5737</v>
      </c>
      <c r="M4424" t="s">
        <v>4872</v>
      </c>
      <c r="N4424" t="str">
        <f>"248030301423"</f>
        <v>248030301423</v>
      </c>
      <c r="O4424" t="str">
        <f>"450331199506210028"</f>
        <v>450331199506210028</v>
      </c>
    </row>
    <row r="4425" customFormat="1" spans="1:15">
      <c r="A4425">
        <v>5738</v>
      </c>
      <c r="B4425" t="s">
        <v>4873</v>
      </c>
      <c r="C4425" t="str">
        <f>"46000219881026322X"</f>
        <v>46000219881026322X</v>
      </c>
      <c r="D4425" t="str">
        <f>"248030302024"</f>
        <v>248030302024</v>
      </c>
      <c r="L4425">
        <v>5738</v>
      </c>
      <c r="M4425" t="s">
        <v>4873</v>
      </c>
      <c r="N4425" t="str">
        <f>"248030302024"</f>
        <v>248030302024</v>
      </c>
      <c r="O4425" t="str">
        <f>"46000219881026322X"</f>
        <v>46000219881026322X</v>
      </c>
    </row>
    <row r="4426" customFormat="1" spans="1:15">
      <c r="A4426">
        <v>5739</v>
      </c>
      <c r="B4426" t="s">
        <v>4874</v>
      </c>
      <c r="C4426" t="str">
        <f>"460004199509010845"</f>
        <v>460004199509010845</v>
      </c>
      <c r="D4426" t="str">
        <f>"248030502025"</f>
        <v>248030502025</v>
      </c>
      <c r="L4426">
        <v>5739</v>
      </c>
      <c r="M4426" t="s">
        <v>4874</v>
      </c>
      <c r="N4426" t="str">
        <f>"248030502025"</f>
        <v>248030502025</v>
      </c>
      <c r="O4426" t="str">
        <f>"460004199509010845"</f>
        <v>460004199509010845</v>
      </c>
    </row>
    <row r="4427" customFormat="1" spans="1:15">
      <c r="A4427">
        <v>5740</v>
      </c>
      <c r="B4427" t="s">
        <v>4875</v>
      </c>
      <c r="C4427" t="str">
        <f>"460004199908286224"</f>
        <v>460004199908286224</v>
      </c>
      <c r="D4427" t="str">
        <f>"248030102419"</f>
        <v>248030102419</v>
      </c>
      <c r="L4427">
        <v>5740</v>
      </c>
      <c r="M4427" t="s">
        <v>4875</v>
      </c>
      <c r="N4427" t="str">
        <f>"248030102419"</f>
        <v>248030102419</v>
      </c>
      <c r="O4427" t="str">
        <f>"460004199908286224"</f>
        <v>460004199908286224</v>
      </c>
    </row>
    <row r="4428" customFormat="1" spans="1:15">
      <c r="A4428">
        <v>5741</v>
      </c>
      <c r="B4428" t="s">
        <v>4876</v>
      </c>
      <c r="C4428" t="str">
        <f>"210111198603101522"</f>
        <v>210111198603101522</v>
      </c>
      <c r="D4428" t="str">
        <f>"248030301901"</f>
        <v>248030301901</v>
      </c>
      <c r="L4428">
        <v>5741</v>
      </c>
      <c r="M4428" t="s">
        <v>4876</v>
      </c>
      <c r="N4428" t="str">
        <f>"248030301901"</f>
        <v>248030301901</v>
      </c>
      <c r="O4428" t="str">
        <f>"210111198603101522"</f>
        <v>210111198603101522</v>
      </c>
    </row>
    <row r="4429" customFormat="1" spans="1:15">
      <c r="A4429">
        <v>5742</v>
      </c>
      <c r="B4429" t="s">
        <v>4877</v>
      </c>
      <c r="C4429" t="str">
        <f>"460003199502094226"</f>
        <v>460003199502094226</v>
      </c>
      <c r="D4429" t="str">
        <f>"248030402220"</f>
        <v>248030402220</v>
      </c>
      <c r="L4429">
        <v>5742</v>
      </c>
      <c r="M4429" t="s">
        <v>4877</v>
      </c>
      <c r="N4429" t="str">
        <f>"248030402220"</f>
        <v>248030402220</v>
      </c>
      <c r="O4429" t="str">
        <f>"460003199502094226"</f>
        <v>460003199502094226</v>
      </c>
    </row>
    <row r="4430" customFormat="1" spans="1:15">
      <c r="A4430">
        <v>5743</v>
      </c>
      <c r="B4430" t="s">
        <v>4878</v>
      </c>
      <c r="C4430" t="str">
        <f>"460007200003186864"</f>
        <v>460007200003186864</v>
      </c>
      <c r="D4430" t="str">
        <f>"248030501114"</f>
        <v>248030501114</v>
      </c>
      <c r="L4430">
        <v>5743</v>
      </c>
      <c r="M4430" t="s">
        <v>4878</v>
      </c>
      <c r="N4430" t="str">
        <f>"248030501114"</f>
        <v>248030501114</v>
      </c>
      <c r="O4430" t="str">
        <f>"460007200003186864"</f>
        <v>460007200003186864</v>
      </c>
    </row>
    <row r="4431" customFormat="1" spans="1:15">
      <c r="A4431">
        <v>5744</v>
      </c>
      <c r="B4431" t="s">
        <v>4879</v>
      </c>
      <c r="C4431" t="str">
        <f>"460006200002064025"</f>
        <v>460006200002064025</v>
      </c>
      <c r="D4431" t="str">
        <f>"248030402721"</f>
        <v>248030402721</v>
      </c>
      <c r="L4431">
        <v>5744</v>
      </c>
      <c r="M4431" t="s">
        <v>4879</v>
      </c>
      <c r="N4431" t="str">
        <f>"248030402721"</f>
        <v>248030402721</v>
      </c>
      <c r="O4431" t="str">
        <f>"460006200002064025"</f>
        <v>460006200002064025</v>
      </c>
    </row>
    <row r="4432" customFormat="1" spans="1:15">
      <c r="A4432">
        <v>5745</v>
      </c>
      <c r="B4432" t="s">
        <v>4880</v>
      </c>
      <c r="C4432" t="str">
        <f>"460004199510150220"</f>
        <v>460004199510150220</v>
      </c>
      <c r="D4432" t="str">
        <f>"248030100718"</f>
        <v>248030100718</v>
      </c>
      <c r="L4432">
        <v>5745</v>
      </c>
      <c r="M4432" t="s">
        <v>4880</v>
      </c>
      <c r="N4432" t="str">
        <f>"248030100718"</f>
        <v>248030100718</v>
      </c>
      <c r="O4432" t="str">
        <f>"460004199510150220"</f>
        <v>460004199510150220</v>
      </c>
    </row>
    <row r="4433" customFormat="1" spans="1:15">
      <c r="A4433">
        <v>5746</v>
      </c>
      <c r="B4433" t="s">
        <v>4881</v>
      </c>
      <c r="C4433" t="str">
        <f>"46010619950615442X"</f>
        <v>46010619950615442X</v>
      </c>
      <c r="D4433" t="str">
        <f>"248030101019"</f>
        <v>248030101019</v>
      </c>
      <c r="L4433">
        <v>5746</v>
      </c>
      <c r="M4433" t="s">
        <v>4881</v>
      </c>
      <c r="N4433" t="str">
        <f>"248030101019"</f>
        <v>248030101019</v>
      </c>
      <c r="O4433" t="str">
        <f>"46010619950615442X"</f>
        <v>46010619950615442X</v>
      </c>
    </row>
    <row r="4434" customFormat="1" spans="1:15">
      <c r="A4434">
        <v>5748</v>
      </c>
      <c r="B4434" t="s">
        <v>4882</v>
      </c>
      <c r="C4434" t="str">
        <f>"460006199909047527"</f>
        <v>460006199909047527</v>
      </c>
      <c r="D4434" t="str">
        <f>"248030101415"</f>
        <v>248030101415</v>
      </c>
      <c r="L4434">
        <v>5748</v>
      </c>
      <c r="M4434" t="s">
        <v>4882</v>
      </c>
      <c r="N4434" t="str">
        <f>"248030101415"</f>
        <v>248030101415</v>
      </c>
      <c r="O4434" t="str">
        <f>"460006199909047527"</f>
        <v>460006199909047527</v>
      </c>
    </row>
    <row r="4435" customFormat="1" spans="1:15">
      <c r="A4435">
        <v>5752</v>
      </c>
      <c r="B4435" t="s">
        <v>4771</v>
      </c>
      <c r="C4435" t="str">
        <f>"469021200205220624"</f>
        <v>469021200205220624</v>
      </c>
      <c r="D4435" t="str">
        <f>"248030103830"</f>
        <v>248030103830</v>
      </c>
      <c r="L4435">
        <v>5752</v>
      </c>
      <c r="M4435" t="s">
        <v>4771</v>
      </c>
      <c r="N4435" t="str">
        <f>"248030103830"</f>
        <v>248030103830</v>
      </c>
      <c r="O4435" t="str">
        <f>"469021200205220624"</f>
        <v>469021200205220624</v>
      </c>
    </row>
    <row r="4436" customFormat="1" spans="1:15">
      <c r="A4436">
        <v>5753</v>
      </c>
      <c r="B4436" t="s">
        <v>4883</v>
      </c>
      <c r="C4436" t="str">
        <f>"460026200106182128"</f>
        <v>460026200106182128</v>
      </c>
      <c r="D4436" t="str">
        <f>"248030203702"</f>
        <v>248030203702</v>
      </c>
      <c r="L4436">
        <v>5753</v>
      </c>
      <c r="M4436" t="s">
        <v>4883</v>
      </c>
      <c r="N4436" t="str">
        <f>"248030203702"</f>
        <v>248030203702</v>
      </c>
      <c r="O4436" t="str">
        <f>"460026200106182128"</f>
        <v>460026200106182128</v>
      </c>
    </row>
    <row r="4437" customFormat="1" spans="1:15">
      <c r="A4437">
        <v>5754</v>
      </c>
      <c r="B4437" t="s">
        <v>4884</v>
      </c>
      <c r="C4437" t="str">
        <f>"469027200112204789"</f>
        <v>469027200112204789</v>
      </c>
      <c r="D4437" t="str">
        <f>"248030503420"</f>
        <v>248030503420</v>
      </c>
      <c r="L4437">
        <v>5754</v>
      </c>
      <c r="M4437" t="s">
        <v>4884</v>
      </c>
      <c r="N4437" t="str">
        <f>"248030503420"</f>
        <v>248030503420</v>
      </c>
      <c r="O4437" t="str">
        <f>"469027200112204789"</f>
        <v>469027200112204789</v>
      </c>
    </row>
    <row r="4438" customFormat="1" spans="1:15">
      <c r="A4438">
        <v>5756</v>
      </c>
      <c r="B4438" t="s">
        <v>4885</v>
      </c>
      <c r="C4438" t="str">
        <f>"460003199012186689"</f>
        <v>460003199012186689</v>
      </c>
      <c r="L4438">
        <v>5756</v>
      </c>
      <c r="M4438" t="s">
        <v>4885</v>
      </c>
      <c r="O4438" t="str">
        <f>"460003199012186689"</f>
        <v>460003199012186689</v>
      </c>
    </row>
    <row r="4439" customFormat="1" spans="1:15">
      <c r="A4439">
        <v>5757</v>
      </c>
      <c r="B4439" t="s">
        <v>4886</v>
      </c>
      <c r="C4439" t="str">
        <f>"46010320001101152X"</f>
        <v>46010320001101152X</v>
      </c>
      <c r="D4439" t="str">
        <f>"248030103915"</f>
        <v>248030103915</v>
      </c>
      <c r="L4439">
        <v>5757</v>
      </c>
      <c r="M4439" t="s">
        <v>4886</v>
      </c>
      <c r="N4439" t="str">
        <f>"248030103915"</f>
        <v>248030103915</v>
      </c>
      <c r="O4439" t="str">
        <f>"46010320001101152X"</f>
        <v>46010320001101152X</v>
      </c>
    </row>
    <row r="4440" customFormat="1" spans="1:15">
      <c r="A4440">
        <v>5758</v>
      </c>
      <c r="B4440" t="s">
        <v>4887</v>
      </c>
      <c r="C4440" t="str">
        <f>"230230198609021126"</f>
        <v>230230198609021126</v>
      </c>
      <c r="D4440" t="str">
        <f>"248030202728"</f>
        <v>248030202728</v>
      </c>
      <c r="L4440">
        <v>5758</v>
      </c>
      <c r="M4440" t="s">
        <v>4887</v>
      </c>
      <c r="N4440" t="str">
        <f>"248030202728"</f>
        <v>248030202728</v>
      </c>
      <c r="O4440" t="str">
        <f>"230230198609021126"</f>
        <v>230230198609021126</v>
      </c>
    </row>
    <row r="4441" customFormat="1" spans="1:15">
      <c r="A4441">
        <v>5759</v>
      </c>
      <c r="B4441" t="s">
        <v>4888</v>
      </c>
      <c r="C4441" t="str">
        <f>"460105199806307524"</f>
        <v>460105199806307524</v>
      </c>
      <c r="D4441" t="str">
        <f>"248030200611"</f>
        <v>248030200611</v>
      </c>
      <c r="L4441">
        <v>5759</v>
      </c>
      <c r="M4441" t="s">
        <v>4888</v>
      </c>
      <c r="N4441" t="str">
        <f>"248030200611"</f>
        <v>248030200611</v>
      </c>
      <c r="O4441" t="str">
        <f>"460105199806307524"</f>
        <v>460105199806307524</v>
      </c>
    </row>
    <row r="4442" customFormat="1" spans="1:15">
      <c r="A4442">
        <v>5760</v>
      </c>
      <c r="B4442" t="s">
        <v>4889</v>
      </c>
      <c r="C4442" t="str">
        <f>"460002199901293824"</f>
        <v>460002199901293824</v>
      </c>
      <c r="D4442" t="str">
        <f>"248030502113"</f>
        <v>248030502113</v>
      </c>
      <c r="L4442">
        <v>5760</v>
      </c>
      <c r="M4442" t="s">
        <v>4889</v>
      </c>
      <c r="N4442" t="str">
        <f>"248030502113"</f>
        <v>248030502113</v>
      </c>
      <c r="O4442" t="str">
        <f>"460002199901293824"</f>
        <v>460002199901293824</v>
      </c>
    </row>
    <row r="4443" customFormat="1" spans="1:15">
      <c r="A4443">
        <v>5761</v>
      </c>
      <c r="B4443" t="s">
        <v>4890</v>
      </c>
      <c r="C4443" t="str">
        <f>"460103200206060022"</f>
        <v>460103200206060022</v>
      </c>
      <c r="D4443" t="str">
        <f>"248030100115"</f>
        <v>248030100115</v>
      </c>
      <c r="L4443">
        <v>5761</v>
      </c>
      <c r="M4443" t="s">
        <v>4890</v>
      </c>
      <c r="N4443" t="str">
        <f>"248030100115"</f>
        <v>248030100115</v>
      </c>
      <c r="O4443" t="str">
        <f>"460103200206060022"</f>
        <v>460103200206060022</v>
      </c>
    </row>
    <row r="4444" customFormat="1" spans="1:15">
      <c r="A4444">
        <v>5762</v>
      </c>
      <c r="B4444" t="s">
        <v>4891</v>
      </c>
      <c r="C4444" t="str">
        <f>"460027199401250024"</f>
        <v>460027199401250024</v>
      </c>
      <c r="D4444" t="str">
        <f>"248030200324"</f>
        <v>248030200324</v>
      </c>
      <c r="L4444">
        <v>5762</v>
      </c>
      <c r="M4444" t="s">
        <v>4891</v>
      </c>
      <c r="N4444" t="str">
        <f>"248030200324"</f>
        <v>248030200324</v>
      </c>
      <c r="O4444" t="str">
        <f>"460027199401250024"</f>
        <v>460027199401250024</v>
      </c>
    </row>
    <row r="4445" customFormat="1" spans="1:15">
      <c r="A4445">
        <v>5764</v>
      </c>
      <c r="B4445" t="s">
        <v>820</v>
      </c>
      <c r="C4445" t="str">
        <f>"460003199608295843"</f>
        <v>460003199608295843</v>
      </c>
      <c r="D4445" t="str">
        <f>"248030502818"</f>
        <v>248030502818</v>
      </c>
      <c r="L4445">
        <v>5764</v>
      </c>
      <c r="M4445" t="s">
        <v>820</v>
      </c>
      <c r="N4445" t="str">
        <f>"248030502818"</f>
        <v>248030502818</v>
      </c>
      <c r="O4445" t="str">
        <f>"460003199608295843"</f>
        <v>460003199608295843</v>
      </c>
    </row>
    <row r="4446" customFormat="1" spans="1:15">
      <c r="A4446">
        <v>5765</v>
      </c>
      <c r="B4446" t="s">
        <v>4892</v>
      </c>
      <c r="C4446" t="str">
        <f>"460002199802020310"</f>
        <v>460002199802020310</v>
      </c>
      <c r="D4446" t="str">
        <f>"248030201810"</f>
        <v>248030201810</v>
      </c>
      <c r="L4446">
        <v>5765</v>
      </c>
      <c r="M4446" t="s">
        <v>4892</v>
      </c>
      <c r="N4446" t="str">
        <f>"248030201810"</f>
        <v>248030201810</v>
      </c>
      <c r="O4446" t="str">
        <f>"460002199802020310"</f>
        <v>460002199802020310</v>
      </c>
    </row>
    <row r="4447" customFormat="1" spans="1:15">
      <c r="A4447">
        <v>5766</v>
      </c>
      <c r="B4447" t="s">
        <v>646</v>
      </c>
      <c r="C4447" t="str">
        <f>"42282219980902502X"</f>
        <v>42282219980902502X</v>
      </c>
      <c r="D4447" t="str">
        <f>"248030302225"</f>
        <v>248030302225</v>
      </c>
      <c r="L4447">
        <v>5766</v>
      </c>
      <c r="M4447" t="s">
        <v>646</v>
      </c>
      <c r="N4447" t="str">
        <f>"248030302225"</f>
        <v>248030302225</v>
      </c>
      <c r="O4447" t="str">
        <f>"42282219980902502X"</f>
        <v>42282219980902502X</v>
      </c>
    </row>
    <row r="4448" customFormat="1" spans="1:15">
      <c r="A4448">
        <v>5767</v>
      </c>
      <c r="B4448" t="s">
        <v>4893</v>
      </c>
      <c r="C4448" t="str">
        <f>"362329199406090020"</f>
        <v>362329199406090020</v>
      </c>
      <c r="L4448">
        <v>5767</v>
      </c>
      <c r="M4448" t="s">
        <v>4893</v>
      </c>
      <c r="O4448" t="str">
        <f>"362329199406090020"</f>
        <v>362329199406090020</v>
      </c>
    </row>
    <row r="4449" customFormat="1" spans="1:15">
      <c r="A4449">
        <v>5768</v>
      </c>
      <c r="B4449" t="s">
        <v>4894</v>
      </c>
      <c r="C4449" t="str">
        <f>"46000219940127562X"</f>
        <v>46000219940127562X</v>
      </c>
      <c r="D4449" t="str">
        <f>"248030400827"</f>
        <v>248030400827</v>
      </c>
      <c r="L4449">
        <v>5768</v>
      </c>
      <c r="M4449" t="s">
        <v>4894</v>
      </c>
      <c r="N4449" t="str">
        <f>"248030400827"</f>
        <v>248030400827</v>
      </c>
      <c r="O4449" t="str">
        <f>"46000219940127562X"</f>
        <v>46000219940127562X</v>
      </c>
    </row>
    <row r="4450" customFormat="1" spans="1:15">
      <c r="A4450">
        <v>5769</v>
      </c>
      <c r="B4450" t="s">
        <v>4895</v>
      </c>
      <c r="C4450" t="str">
        <f>"460003199705150224"</f>
        <v>460003199705150224</v>
      </c>
      <c r="D4450" t="str">
        <f>"248030500922"</f>
        <v>248030500922</v>
      </c>
      <c r="L4450">
        <v>5769</v>
      </c>
      <c r="M4450" t="s">
        <v>4895</v>
      </c>
      <c r="N4450" t="str">
        <f>"248030500922"</f>
        <v>248030500922</v>
      </c>
      <c r="O4450" t="str">
        <f>"460003199705150224"</f>
        <v>460003199705150224</v>
      </c>
    </row>
    <row r="4451" customFormat="1" spans="1:15">
      <c r="A4451">
        <v>5770</v>
      </c>
      <c r="B4451" t="s">
        <v>4896</v>
      </c>
      <c r="C4451" t="str">
        <f>"460022199505075820"</f>
        <v>460022199505075820</v>
      </c>
      <c r="D4451" t="str">
        <f>"248030101522"</f>
        <v>248030101522</v>
      </c>
      <c r="L4451">
        <v>5770</v>
      </c>
      <c r="M4451" t="s">
        <v>4896</v>
      </c>
      <c r="N4451" t="str">
        <f>"248030101522"</f>
        <v>248030101522</v>
      </c>
      <c r="O4451" t="str">
        <f>"460022199505075820"</f>
        <v>460022199505075820</v>
      </c>
    </row>
    <row r="4452" customFormat="1" spans="1:15">
      <c r="A4452">
        <v>5771</v>
      </c>
      <c r="B4452" t="s">
        <v>4897</v>
      </c>
      <c r="C4452" t="str">
        <f>"460021199202184425"</f>
        <v>460021199202184425</v>
      </c>
      <c r="D4452" t="str">
        <f>"248030401609"</f>
        <v>248030401609</v>
      </c>
      <c r="L4452">
        <v>5771</v>
      </c>
      <c r="M4452" t="s">
        <v>4897</v>
      </c>
      <c r="N4452" t="str">
        <f>"248030401609"</f>
        <v>248030401609</v>
      </c>
      <c r="O4452" t="str">
        <f>"460021199202184425"</f>
        <v>460021199202184425</v>
      </c>
    </row>
    <row r="4453" customFormat="1" spans="1:15">
      <c r="A4453">
        <v>5772</v>
      </c>
      <c r="B4453" t="s">
        <v>4898</v>
      </c>
      <c r="C4453" t="str">
        <f>"46902420020430602X"</f>
        <v>46902420020430602X</v>
      </c>
      <c r="D4453" t="str">
        <f>"248030102617"</f>
        <v>248030102617</v>
      </c>
      <c r="L4453">
        <v>5772</v>
      </c>
      <c r="M4453" t="s">
        <v>4898</v>
      </c>
      <c r="N4453" t="str">
        <f>"248030102617"</f>
        <v>248030102617</v>
      </c>
      <c r="O4453" t="str">
        <f>"46902420020430602X"</f>
        <v>46902420020430602X</v>
      </c>
    </row>
    <row r="4454" customFormat="1" spans="1:15">
      <c r="A4454">
        <v>5773</v>
      </c>
      <c r="B4454" t="s">
        <v>4899</v>
      </c>
      <c r="C4454" t="str">
        <f>"460003200003102426"</f>
        <v>460003200003102426</v>
      </c>
      <c r="D4454" t="str">
        <f>"248030100821"</f>
        <v>248030100821</v>
      </c>
      <c r="L4454">
        <v>5773</v>
      </c>
      <c r="M4454" t="s">
        <v>4899</v>
      </c>
      <c r="N4454" t="str">
        <f>"248030100821"</f>
        <v>248030100821</v>
      </c>
      <c r="O4454" t="str">
        <f>"460003200003102426"</f>
        <v>460003200003102426</v>
      </c>
    </row>
    <row r="4455" customFormat="1" spans="1:15">
      <c r="A4455">
        <v>5774</v>
      </c>
      <c r="B4455" t="s">
        <v>4900</v>
      </c>
      <c r="C4455" t="str">
        <f>"460032199202237661"</f>
        <v>460032199202237661</v>
      </c>
      <c r="D4455" t="str">
        <f>"248030103729"</f>
        <v>248030103729</v>
      </c>
      <c r="L4455">
        <v>5774</v>
      </c>
      <c r="M4455" t="s">
        <v>4900</v>
      </c>
      <c r="N4455" t="str">
        <f>"248030103729"</f>
        <v>248030103729</v>
      </c>
      <c r="O4455" t="str">
        <f>"460032199202237661"</f>
        <v>460032199202237661</v>
      </c>
    </row>
    <row r="4456" customFormat="1" spans="1:15">
      <c r="A4456">
        <v>5775</v>
      </c>
      <c r="B4456" t="s">
        <v>1454</v>
      </c>
      <c r="C4456" t="str">
        <f>"440883199811233607"</f>
        <v>440883199811233607</v>
      </c>
      <c r="D4456" t="str">
        <f>"248030104109"</f>
        <v>248030104109</v>
      </c>
      <c r="L4456">
        <v>5775</v>
      </c>
      <c r="M4456" t="s">
        <v>1454</v>
      </c>
      <c r="N4456" t="str">
        <f>"248030104109"</f>
        <v>248030104109</v>
      </c>
      <c r="O4456" t="str">
        <f>"440883199811233607"</f>
        <v>440883199811233607</v>
      </c>
    </row>
    <row r="4457" customFormat="1" spans="1:15">
      <c r="A4457">
        <v>5776</v>
      </c>
      <c r="B4457" t="s">
        <v>3654</v>
      </c>
      <c r="C4457" t="str">
        <f>"460031200006104828"</f>
        <v>460031200006104828</v>
      </c>
      <c r="D4457" t="str">
        <f>"248030103125"</f>
        <v>248030103125</v>
      </c>
      <c r="L4457">
        <v>5776</v>
      </c>
      <c r="M4457" t="s">
        <v>3654</v>
      </c>
      <c r="N4457" t="str">
        <f>"248030103125"</f>
        <v>248030103125</v>
      </c>
      <c r="O4457" t="str">
        <f>"460031200006104828"</f>
        <v>460031200006104828</v>
      </c>
    </row>
    <row r="4458" customFormat="1" spans="1:15">
      <c r="A4458">
        <v>5778</v>
      </c>
      <c r="B4458" t="s">
        <v>4901</v>
      </c>
      <c r="C4458" t="str">
        <f>"460004199310230824"</f>
        <v>460004199310230824</v>
      </c>
      <c r="D4458" t="str">
        <f>"248030100425"</f>
        <v>248030100425</v>
      </c>
      <c r="L4458">
        <v>5778</v>
      </c>
      <c r="M4458" t="s">
        <v>4901</v>
      </c>
      <c r="N4458" t="str">
        <f>"248030100425"</f>
        <v>248030100425</v>
      </c>
      <c r="O4458" t="str">
        <f>"460004199310230824"</f>
        <v>460004199310230824</v>
      </c>
    </row>
    <row r="4459" customFormat="1" spans="1:15">
      <c r="A4459">
        <v>5779</v>
      </c>
      <c r="B4459" t="s">
        <v>4902</v>
      </c>
      <c r="C4459" t="str">
        <f>"230521198602050020"</f>
        <v>230521198602050020</v>
      </c>
      <c r="D4459" t="str">
        <f>"248030101018"</f>
        <v>248030101018</v>
      </c>
      <c r="L4459">
        <v>5779</v>
      </c>
      <c r="M4459" t="s">
        <v>4902</v>
      </c>
      <c r="N4459" t="str">
        <f>"248030101018"</f>
        <v>248030101018</v>
      </c>
      <c r="O4459" t="str">
        <f>"230521198602050020"</f>
        <v>230521198602050020</v>
      </c>
    </row>
    <row r="4460" customFormat="1" spans="1:15">
      <c r="A4460">
        <v>5780</v>
      </c>
      <c r="B4460" t="s">
        <v>4903</v>
      </c>
      <c r="C4460" t="str">
        <f>"460006199005084827"</f>
        <v>460006199005084827</v>
      </c>
      <c r="D4460" t="str">
        <f>"248030104430"</f>
        <v>248030104430</v>
      </c>
      <c r="L4460">
        <v>5780</v>
      </c>
      <c r="M4460" t="s">
        <v>4903</v>
      </c>
      <c r="N4460" t="str">
        <f>"248030104430"</f>
        <v>248030104430</v>
      </c>
      <c r="O4460" t="str">
        <f>"460006199005084827"</f>
        <v>460006199005084827</v>
      </c>
    </row>
    <row r="4461" customFormat="1" spans="1:15">
      <c r="A4461">
        <v>5781</v>
      </c>
      <c r="B4461" t="s">
        <v>4904</v>
      </c>
      <c r="C4461" t="str">
        <f>"460002199602071826"</f>
        <v>460002199602071826</v>
      </c>
      <c r="D4461" t="str">
        <f>"248030100515"</f>
        <v>248030100515</v>
      </c>
      <c r="L4461">
        <v>5781</v>
      </c>
      <c r="M4461" t="s">
        <v>4904</v>
      </c>
      <c r="N4461" t="str">
        <f>"248030100515"</f>
        <v>248030100515</v>
      </c>
      <c r="O4461" t="str">
        <f>"460002199602071826"</f>
        <v>460002199602071826</v>
      </c>
    </row>
    <row r="4462" customFormat="1" spans="1:15">
      <c r="A4462">
        <v>5784</v>
      </c>
      <c r="B4462" t="s">
        <v>696</v>
      </c>
      <c r="C4462" t="str">
        <f>"460026200003283620"</f>
        <v>460026200003283620</v>
      </c>
      <c r="D4462" t="str">
        <f>"248030301113"</f>
        <v>248030301113</v>
      </c>
      <c r="L4462">
        <v>5784</v>
      </c>
      <c r="M4462" t="s">
        <v>696</v>
      </c>
      <c r="N4462" t="str">
        <f>"248030301113"</f>
        <v>248030301113</v>
      </c>
      <c r="O4462" t="str">
        <f>"460026200003283620"</f>
        <v>460026200003283620</v>
      </c>
    </row>
    <row r="4463" customFormat="1" spans="1:15">
      <c r="A4463">
        <v>5785</v>
      </c>
      <c r="B4463" t="s">
        <v>187</v>
      </c>
      <c r="C4463" t="str">
        <f>"632123199111169125"</f>
        <v>632123199111169125</v>
      </c>
      <c r="D4463" t="str">
        <f>"248030203027"</f>
        <v>248030203027</v>
      </c>
      <c r="L4463">
        <v>5785</v>
      </c>
      <c r="M4463" t="s">
        <v>187</v>
      </c>
      <c r="N4463" t="str">
        <f>"248030203027"</f>
        <v>248030203027</v>
      </c>
      <c r="O4463" t="str">
        <f>"632123199111169125"</f>
        <v>632123199111169125</v>
      </c>
    </row>
    <row r="4464" customFormat="1" spans="1:15">
      <c r="A4464">
        <v>5786</v>
      </c>
      <c r="B4464" t="s">
        <v>4905</v>
      </c>
      <c r="C4464" t="str">
        <f>"41122119951204202X"</f>
        <v>41122119951204202X</v>
      </c>
      <c r="D4464" t="str">
        <f>"248030400408"</f>
        <v>248030400408</v>
      </c>
      <c r="L4464">
        <v>5786</v>
      </c>
      <c r="M4464" t="s">
        <v>4905</v>
      </c>
      <c r="N4464" t="str">
        <f>"248030400408"</f>
        <v>248030400408</v>
      </c>
      <c r="O4464" t="str">
        <f>"41122119951204202X"</f>
        <v>41122119951204202X</v>
      </c>
    </row>
    <row r="4465" customFormat="1" spans="1:15">
      <c r="A4465">
        <v>5787</v>
      </c>
      <c r="B4465" t="s">
        <v>4906</v>
      </c>
      <c r="C4465" t="str">
        <f>"460022199506050027"</f>
        <v>460022199506050027</v>
      </c>
      <c r="D4465" t="str">
        <f>"248030101218"</f>
        <v>248030101218</v>
      </c>
      <c r="L4465">
        <v>5787</v>
      </c>
      <c r="M4465" t="s">
        <v>4906</v>
      </c>
      <c r="N4465" t="str">
        <f>"248030101218"</f>
        <v>248030101218</v>
      </c>
      <c r="O4465" t="str">
        <f>"460022199506050027"</f>
        <v>460022199506050027</v>
      </c>
    </row>
    <row r="4466" customFormat="1" spans="1:15">
      <c r="A4466">
        <v>5788</v>
      </c>
      <c r="B4466" t="s">
        <v>4907</v>
      </c>
      <c r="C4466" t="str">
        <f>"460003199610081641"</f>
        <v>460003199610081641</v>
      </c>
      <c r="D4466" t="str">
        <f>"248030104410"</f>
        <v>248030104410</v>
      </c>
      <c r="L4466">
        <v>5788</v>
      </c>
      <c r="M4466" t="s">
        <v>4907</v>
      </c>
      <c r="N4466" t="str">
        <f>"248030104410"</f>
        <v>248030104410</v>
      </c>
      <c r="O4466" t="str">
        <f>"460003199610081641"</f>
        <v>460003199610081641</v>
      </c>
    </row>
    <row r="4467" customFormat="1" spans="1:15">
      <c r="A4467">
        <v>5789</v>
      </c>
      <c r="B4467" t="s">
        <v>445</v>
      </c>
      <c r="C4467" t="str">
        <f>"640103199510082136"</f>
        <v>640103199510082136</v>
      </c>
      <c r="D4467" t="str">
        <f>"248030400122"</f>
        <v>248030400122</v>
      </c>
      <c r="L4467">
        <v>5789</v>
      </c>
      <c r="M4467" t="s">
        <v>445</v>
      </c>
      <c r="N4467" t="str">
        <f>"248030400122"</f>
        <v>248030400122</v>
      </c>
      <c r="O4467" t="str">
        <f>"640103199510082136"</f>
        <v>640103199510082136</v>
      </c>
    </row>
    <row r="4468" customFormat="1" spans="1:15">
      <c r="A4468">
        <v>5790</v>
      </c>
      <c r="B4468" t="s">
        <v>4908</v>
      </c>
      <c r="C4468" t="str">
        <f>"460102199003080021"</f>
        <v>460102199003080021</v>
      </c>
      <c r="D4468" t="str">
        <f>"248030502801"</f>
        <v>248030502801</v>
      </c>
      <c r="L4468">
        <v>5790</v>
      </c>
      <c r="M4468" t="s">
        <v>4908</v>
      </c>
      <c r="N4468" t="str">
        <f>"248030502801"</f>
        <v>248030502801</v>
      </c>
      <c r="O4468" t="str">
        <f>"460102199003080021"</f>
        <v>460102199003080021</v>
      </c>
    </row>
    <row r="4469" customFormat="1" spans="1:15">
      <c r="A4469">
        <v>5791</v>
      </c>
      <c r="B4469" t="s">
        <v>4909</v>
      </c>
      <c r="C4469" t="str">
        <f>"460104199407071829"</f>
        <v>460104199407071829</v>
      </c>
      <c r="D4469" t="str">
        <f>"248030503425"</f>
        <v>248030503425</v>
      </c>
      <c r="L4469">
        <v>5791</v>
      </c>
      <c r="M4469" t="s">
        <v>4909</v>
      </c>
      <c r="N4469" t="str">
        <f>"248030503425"</f>
        <v>248030503425</v>
      </c>
      <c r="O4469" t="str">
        <f>"460104199407071829"</f>
        <v>460104199407071829</v>
      </c>
    </row>
    <row r="4470" customFormat="1" spans="1:15">
      <c r="A4470">
        <v>5792</v>
      </c>
      <c r="B4470" t="s">
        <v>4910</v>
      </c>
      <c r="C4470" t="str">
        <f>"460003200004082025"</f>
        <v>460003200004082025</v>
      </c>
      <c r="L4470">
        <v>5792</v>
      </c>
      <c r="M4470" t="s">
        <v>4910</v>
      </c>
      <c r="O4470" t="str">
        <f>"460003200004082025"</f>
        <v>460003200004082025</v>
      </c>
    </row>
    <row r="4471" customFormat="1" spans="1:15">
      <c r="A4471">
        <v>5793</v>
      </c>
      <c r="B4471" t="s">
        <v>4911</v>
      </c>
      <c r="C4471" t="str">
        <f>"460028199508275228"</f>
        <v>460028199508275228</v>
      </c>
      <c r="D4471" t="str">
        <f>"248030200104"</f>
        <v>248030200104</v>
      </c>
      <c r="L4471">
        <v>5793</v>
      </c>
      <c r="M4471" t="s">
        <v>4911</v>
      </c>
      <c r="N4471" t="str">
        <f>"248030200104"</f>
        <v>248030200104</v>
      </c>
      <c r="O4471" t="str">
        <f>"460028199508275228"</f>
        <v>460028199508275228</v>
      </c>
    </row>
    <row r="4472" customFormat="1" spans="1:15">
      <c r="A4472">
        <v>5795</v>
      </c>
      <c r="B4472" t="s">
        <v>4912</v>
      </c>
      <c r="C4472" t="str">
        <f>"460033199312054862"</f>
        <v>460033199312054862</v>
      </c>
      <c r="L4472">
        <v>5795</v>
      </c>
      <c r="M4472" t="s">
        <v>4912</v>
      </c>
      <c r="O4472" t="str">
        <f>"460033199312054862"</f>
        <v>460033199312054862</v>
      </c>
    </row>
    <row r="4473" customFormat="1" spans="1:15">
      <c r="A4473">
        <v>5796</v>
      </c>
      <c r="B4473" t="s">
        <v>4913</v>
      </c>
      <c r="C4473" t="str">
        <f>"460027199405064122"</f>
        <v>460027199405064122</v>
      </c>
      <c r="D4473" t="str">
        <f>"248030504120"</f>
        <v>248030504120</v>
      </c>
      <c r="L4473">
        <v>5796</v>
      </c>
      <c r="M4473" t="s">
        <v>4913</v>
      </c>
      <c r="N4473" t="str">
        <f>"248030504120"</f>
        <v>248030504120</v>
      </c>
      <c r="O4473" t="str">
        <f>"460027199405064122"</f>
        <v>460027199405064122</v>
      </c>
    </row>
    <row r="4474" customFormat="1" spans="1:15">
      <c r="A4474">
        <v>5797</v>
      </c>
      <c r="B4474" t="s">
        <v>4914</v>
      </c>
      <c r="C4474" t="str">
        <f>"460027199311238523"</f>
        <v>460027199311238523</v>
      </c>
      <c r="D4474" t="str">
        <f>"248030501807"</f>
        <v>248030501807</v>
      </c>
      <c r="L4474">
        <v>5797</v>
      </c>
      <c r="M4474" t="s">
        <v>4914</v>
      </c>
      <c r="N4474" t="str">
        <f>"248030501807"</f>
        <v>248030501807</v>
      </c>
      <c r="O4474" t="str">
        <f>"460027199311238523"</f>
        <v>460027199311238523</v>
      </c>
    </row>
    <row r="4475" customFormat="1" spans="1:15">
      <c r="A4475">
        <v>5799</v>
      </c>
      <c r="B4475" t="s">
        <v>4915</v>
      </c>
      <c r="C4475" t="str">
        <f>"460002200010046024"</f>
        <v>460002200010046024</v>
      </c>
      <c r="D4475" t="str">
        <f>"248030102212"</f>
        <v>248030102212</v>
      </c>
      <c r="L4475">
        <v>5799</v>
      </c>
      <c r="M4475" t="s">
        <v>4915</v>
      </c>
      <c r="N4475" t="str">
        <f>"248030102212"</f>
        <v>248030102212</v>
      </c>
      <c r="O4475" t="str">
        <f>"460002200010046024"</f>
        <v>460002200010046024</v>
      </c>
    </row>
    <row r="4476" customFormat="1" spans="1:15">
      <c r="A4476">
        <v>5800</v>
      </c>
      <c r="B4476" t="s">
        <v>4916</v>
      </c>
      <c r="C4476" t="str">
        <f>"460004199808310223"</f>
        <v>460004199808310223</v>
      </c>
      <c r="D4476" t="str">
        <f>"248030503716"</f>
        <v>248030503716</v>
      </c>
      <c r="L4476">
        <v>5800</v>
      </c>
      <c r="M4476" t="s">
        <v>4916</v>
      </c>
      <c r="N4476" t="str">
        <f>"248030503716"</f>
        <v>248030503716</v>
      </c>
      <c r="O4476" t="str">
        <f>"460004199808310223"</f>
        <v>460004199808310223</v>
      </c>
    </row>
    <row r="4477" customFormat="1" spans="1:15">
      <c r="A4477">
        <v>5801</v>
      </c>
      <c r="B4477" t="s">
        <v>129</v>
      </c>
      <c r="C4477" t="str">
        <f>"460034199207123666"</f>
        <v>460034199207123666</v>
      </c>
      <c r="D4477" t="str">
        <f>"248030102127"</f>
        <v>248030102127</v>
      </c>
      <c r="L4477">
        <v>5801</v>
      </c>
      <c r="M4477" t="s">
        <v>129</v>
      </c>
      <c r="N4477" t="str">
        <f>"248030102127"</f>
        <v>248030102127</v>
      </c>
      <c r="O4477" t="str">
        <f>"460034199207123666"</f>
        <v>460034199207123666</v>
      </c>
    </row>
    <row r="4478" customFormat="1" spans="1:15">
      <c r="A4478">
        <v>5802</v>
      </c>
      <c r="B4478" t="s">
        <v>4917</v>
      </c>
      <c r="C4478" t="str">
        <f>"460003199101022061"</f>
        <v>460003199101022061</v>
      </c>
      <c r="D4478" t="str">
        <f>"248030402725"</f>
        <v>248030402725</v>
      </c>
      <c r="L4478">
        <v>5802</v>
      </c>
      <c r="M4478" t="s">
        <v>4917</v>
      </c>
      <c r="N4478" t="str">
        <f>"248030402725"</f>
        <v>248030402725</v>
      </c>
      <c r="O4478" t="str">
        <f>"460003199101022061"</f>
        <v>460003199101022061</v>
      </c>
    </row>
    <row r="4479" customFormat="1" spans="1:15">
      <c r="A4479">
        <v>5803</v>
      </c>
      <c r="B4479" t="s">
        <v>2619</v>
      </c>
      <c r="C4479" t="str">
        <f>"460007199904304965"</f>
        <v>460007199904304965</v>
      </c>
      <c r="D4479" t="str">
        <f>"248030501514"</f>
        <v>248030501514</v>
      </c>
      <c r="L4479">
        <v>5803</v>
      </c>
      <c r="M4479" t="s">
        <v>2619</v>
      </c>
      <c r="N4479" t="str">
        <f>"248030501514"</f>
        <v>248030501514</v>
      </c>
      <c r="O4479" t="str">
        <f>"460007199904304965"</f>
        <v>460007199904304965</v>
      </c>
    </row>
    <row r="4480" customFormat="1" spans="1:15">
      <c r="A4480">
        <v>5804</v>
      </c>
      <c r="B4480" t="s">
        <v>4918</v>
      </c>
      <c r="C4480" t="str">
        <f>"469005200006148121"</f>
        <v>469005200006148121</v>
      </c>
      <c r="D4480" t="str">
        <f>"248030301618"</f>
        <v>248030301618</v>
      </c>
      <c r="L4480">
        <v>5804</v>
      </c>
      <c r="M4480" t="s">
        <v>4918</v>
      </c>
      <c r="N4480" t="str">
        <f>"248030301618"</f>
        <v>248030301618</v>
      </c>
      <c r="O4480" t="str">
        <f>"469005200006148121"</f>
        <v>469005200006148121</v>
      </c>
    </row>
    <row r="4481" customFormat="1" spans="1:15">
      <c r="A4481">
        <v>5805</v>
      </c>
      <c r="B4481" t="s">
        <v>4919</v>
      </c>
      <c r="C4481" t="str">
        <f>"130428199603070146"</f>
        <v>130428199603070146</v>
      </c>
      <c r="D4481" t="str">
        <f>"248030202514"</f>
        <v>248030202514</v>
      </c>
      <c r="L4481">
        <v>5805</v>
      </c>
      <c r="M4481" t="s">
        <v>4919</v>
      </c>
      <c r="N4481" t="str">
        <f>"248030202514"</f>
        <v>248030202514</v>
      </c>
      <c r="O4481" t="str">
        <f>"130428199603070146"</f>
        <v>130428199603070146</v>
      </c>
    </row>
    <row r="4482" customFormat="1" spans="1:15">
      <c r="A4482">
        <v>5806</v>
      </c>
      <c r="B4482" t="s">
        <v>4920</v>
      </c>
      <c r="C4482" t="str">
        <f>"46002619931015003X"</f>
        <v>46002619931015003X</v>
      </c>
      <c r="D4482" t="str">
        <f>"248030200304"</f>
        <v>248030200304</v>
      </c>
      <c r="L4482">
        <v>5806</v>
      </c>
      <c r="M4482" t="s">
        <v>4920</v>
      </c>
      <c r="N4482" t="str">
        <f>"248030200304"</f>
        <v>248030200304</v>
      </c>
      <c r="O4482" t="str">
        <f>"46002619931015003X"</f>
        <v>46002619931015003X</v>
      </c>
    </row>
    <row r="4483" customFormat="1" spans="1:15">
      <c r="A4483">
        <v>5807</v>
      </c>
      <c r="B4483" t="s">
        <v>4921</v>
      </c>
      <c r="C4483" t="str">
        <f>"430681199601262682"</f>
        <v>430681199601262682</v>
      </c>
      <c r="L4483">
        <v>5807</v>
      </c>
      <c r="M4483" t="s">
        <v>4921</v>
      </c>
      <c r="O4483" t="str">
        <f>"430681199601262682"</f>
        <v>430681199601262682</v>
      </c>
    </row>
    <row r="4484" customFormat="1" spans="1:15">
      <c r="A4484">
        <v>5810</v>
      </c>
      <c r="B4484" t="s">
        <v>4922</v>
      </c>
      <c r="C4484" t="str">
        <f>"460004199110306628"</f>
        <v>460004199110306628</v>
      </c>
      <c r="L4484">
        <v>5810</v>
      </c>
      <c r="M4484" t="s">
        <v>4922</v>
      </c>
      <c r="O4484" t="str">
        <f>"460004199110306628"</f>
        <v>460004199110306628</v>
      </c>
    </row>
    <row r="4485" customFormat="1" spans="1:15">
      <c r="A4485">
        <v>5811</v>
      </c>
      <c r="B4485" t="s">
        <v>4923</v>
      </c>
      <c r="C4485" t="str">
        <f>"231002198906251520"</f>
        <v>231002198906251520</v>
      </c>
      <c r="D4485" t="str">
        <f>"248030501907"</f>
        <v>248030501907</v>
      </c>
      <c r="L4485">
        <v>5811</v>
      </c>
      <c r="M4485" t="s">
        <v>4923</v>
      </c>
      <c r="N4485" t="str">
        <f>"248030501907"</f>
        <v>248030501907</v>
      </c>
      <c r="O4485" t="str">
        <f>"231002198906251520"</f>
        <v>231002198906251520</v>
      </c>
    </row>
    <row r="4486" customFormat="1" spans="1:15">
      <c r="A4486">
        <v>5812</v>
      </c>
      <c r="B4486" t="s">
        <v>99</v>
      </c>
      <c r="C4486" t="str">
        <f>"41270119990713102X"</f>
        <v>41270119990713102X</v>
      </c>
      <c r="D4486" t="str">
        <f>"248030502129"</f>
        <v>248030502129</v>
      </c>
      <c r="L4486">
        <v>5812</v>
      </c>
      <c r="M4486" t="s">
        <v>99</v>
      </c>
      <c r="N4486" t="str">
        <f>"248030502129"</f>
        <v>248030502129</v>
      </c>
      <c r="O4486" t="str">
        <f>"41270119990713102X"</f>
        <v>41270119990713102X</v>
      </c>
    </row>
    <row r="4487" customFormat="1" spans="1:15">
      <c r="A4487">
        <v>5813</v>
      </c>
      <c r="B4487" t="s">
        <v>4924</v>
      </c>
      <c r="C4487" t="str">
        <f>"460007199910107220"</f>
        <v>460007199910107220</v>
      </c>
      <c r="D4487" t="str">
        <f>"248030102322"</f>
        <v>248030102322</v>
      </c>
      <c r="L4487">
        <v>5813</v>
      </c>
      <c r="M4487" t="s">
        <v>4924</v>
      </c>
      <c r="N4487" t="str">
        <f>"248030102322"</f>
        <v>248030102322</v>
      </c>
      <c r="O4487" t="str">
        <f>"460007199910107220"</f>
        <v>460007199910107220</v>
      </c>
    </row>
    <row r="4488" customFormat="1" spans="1:15">
      <c r="A4488">
        <v>5814</v>
      </c>
      <c r="B4488" t="s">
        <v>4925</v>
      </c>
      <c r="C4488" t="str">
        <f>"460004199307084045"</f>
        <v>460004199307084045</v>
      </c>
      <c r="D4488" t="str">
        <f>"248030402008"</f>
        <v>248030402008</v>
      </c>
      <c r="L4488">
        <v>5814</v>
      </c>
      <c r="M4488" t="s">
        <v>4925</v>
      </c>
      <c r="N4488" t="str">
        <f>"248030402008"</f>
        <v>248030402008</v>
      </c>
      <c r="O4488" t="str">
        <f>"460004199307084045"</f>
        <v>460004199307084045</v>
      </c>
    </row>
    <row r="4489" customFormat="1" spans="1:15">
      <c r="A4489">
        <v>5815</v>
      </c>
      <c r="B4489" t="s">
        <v>4926</v>
      </c>
      <c r="C4489" t="str">
        <f>"469007200101036227"</f>
        <v>469007200101036227</v>
      </c>
      <c r="D4489" t="str">
        <f>"248030100604"</f>
        <v>248030100604</v>
      </c>
      <c r="L4489">
        <v>5815</v>
      </c>
      <c r="M4489" t="s">
        <v>4926</v>
      </c>
      <c r="N4489" t="str">
        <f>"248030100604"</f>
        <v>248030100604</v>
      </c>
      <c r="O4489" t="str">
        <f>"469007200101036227"</f>
        <v>469007200101036227</v>
      </c>
    </row>
    <row r="4490" customFormat="1" spans="1:15">
      <c r="A4490">
        <v>5816</v>
      </c>
      <c r="B4490" t="s">
        <v>4927</v>
      </c>
      <c r="C4490" t="str">
        <f>"460102199508191245"</f>
        <v>460102199508191245</v>
      </c>
      <c r="D4490" t="str">
        <f>"248030104905"</f>
        <v>248030104905</v>
      </c>
      <c r="L4490">
        <v>5816</v>
      </c>
      <c r="M4490" t="s">
        <v>4927</v>
      </c>
      <c r="N4490" t="str">
        <f>"248030104905"</f>
        <v>248030104905</v>
      </c>
      <c r="O4490" t="str">
        <f>"460102199508191245"</f>
        <v>460102199508191245</v>
      </c>
    </row>
    <row r="4491" customFormat="1" spans="1:15">
      <c r="A4491">
        <v>5817</v>
      </c>
      <c r="B4491" t="s">
        <v>4928</v>
      </c>
      <c r="C4491" t="str">
        <f>"460027199609291722"</f>
        <v>460027199609291722</v>
      </c>
      <c r="D4491" t="str">
        <f>"248030100513"</f>
        <v>248030100513</v>
      </c>
      <c r="L4491">
        <v>5817</v>
      </c>
      <c r="M4491" t="s">
        <v>4928</v>
      </c>
      <c r="N4491" t="str">
        <f>"248030100513"</f>
        <v>248030100513</v>
      </c>
      <c r="O4491" t="str">
        <f>"460027199609291722"</f>
        <v>460027199609291722</v>
      </c>
    </row>
    <row r="4492" customFormat="1" spans="1:15">
      <c r="A4492">
        <v>5818</v>
      </c>
      <c r="B4492" t="s">
        <v>4929</v>
      </c>
      <c r="C4492" t="str">
        <f>"460005199608242314"</f>
        <v>460005199608242314</v>
      </c>
      <c r="D4492" t="str">
        <f>"248030401623"</f>
        <v>248030401623</v>
      </c>
      <c r="L4492">
        <v>5818</v>
      </c>
      <c r="M4492" t="s">
        <v>4929</v>
      </c>
      <c r="N4492" t="str">
        <f>"248030401623"</f>
        <v>248030401623</v>
      </c>
      <c r="O4492" t="str">
        <f>"460005199608242314"</f>
        <v>460005199608242314</v>
      </c>
    </row>
    <row r="4493" customFormat="1" spans="1:15">
      <c r="A4493">
        <v>5819</v>
      </c>
      <c r="B4493" t="s">
        <v>3654</v>
      </c>
      <c r="C4493" t="str">
        <f>"46900319990815192X"</f>
        <v>46900319990815192X</v>
      </c>
      <c r="D4493" t="str">
        <f>"248030301417"</f>
        <v>248030301417</v>
      </c>
      <c r="L4493">
        <v>5819</v>
      </c>
      <c r="M4493" t="s">
        <v>3654</v>
      </c>
      <c r="N4493" t="str">
        <f>"248030301417"</f>
        <v>248030301417</v>
      </c>
      <c r="O4493" t="str">
        <f>"46900319990815192X"</f>
        <v>46900319990815192X</v>
      </c>
    </row>
    <row r="4494" customFormat="1" spans="1:15">
      <c r="A4494">
        <v>5820</v>
      </c>
      <c r="B4494" t="s">
        <v>4930</v>
      </c>
      <c r="C4494" t="str">
        <f>"46000619910308525X"</f>
        <v>46000619910308525X</v>
      </c>
      <c r="D4494" t="str">
        <f>"248030202001"</f>
        <v>248030202001</v>
      </c>
      <c r="L4494">
        <v>5820</v>
      </c>
      <c r="M4494" t="s">
        <v>4930</v>
      </c>
      <c r="N4494" t="str">
        <f>"248030202001"</f>
        <v>248030202001</v>
      </c>
      <c r="O4494" t="str">
        <f>"46000619910308525X"</f>
        <v>46000619910308525X</v>
      </c>
    </row>
    <row r="4495" customFormat="1" spans="1:15">
      <c r="A4495">
        <v>5821</v>
      </c>
      <c r="B4495" t="s">
        <v>4931</v>
      </c>
      <c r="C4495" t="str">
        <f>"152123199109237526"</f>
        <v>152123199109237526</v>
      </c>
      <c r="D4495" t="str">
        <f>"248030501725"</f>
        <v>248030501725</v>
      </c>
      <c r="L4495">
        <v>5821</v>
      </c>
      <c r="M4495" t="s">
        <v>4931</v>
      </c>
      <c r="N4495" t="str">
        <f>"248030501725"</f>
        <v>248030501725</v>
      </c>
      <c r="O4495" t="str">
        <f>"152123199109237526"</f>
        <v>152123199109237526</v>
      </c>
    </row>
    <row r="4496" customFormat="1" spans="1:15">
      <c r="A4496">
        <v>5822</v>
      </c>
      <c r="B4496" t="s">
        <v>4932</v>
      </c>
      <c r="C4496" t="str">
        <f>"469021200110090628"</f>
        <v>469021200110090628</v>
      </c>
      <c r="D4496" t="str">
        <f>"248030104427"</f>
        <v>248030104427</v>
      </c>
      <c r="L4496">
        <v>5822</v>
      </c>
      <c r="M4496" t="s">
        <v>4932</v>
      </c>
      <c r="N4496" t="str">
        <f>"248030104427"</f>
        <v>248030104427</v>
      </c>
      <c r="O4496" t="str">
        <f>"469021200110090628"</f>
        <v>469021200110090628</v>
      </c>
    </row>
    <row r="4497" customFormat="1" spans="1:15">
      <c r="A4497">
        <v>5823</v>
      </c>
      <c r="B4497" t="s">
        <v>4933</v>
      </c>
      <c r="C4497" t="str">
        <f>"532524199804120310"</f>
        <v>532524199804120310</v>
      </c>
      <c r="D4497" t="str">
        <f>"248030400311"</f>
        <v>248030400311</v>
      </c>
      <c r="L4497">
        <v>5823</v>
      </c>
      <c r="M4497" t="s">
        <v>4933</v>
      </c>
      <c r="N4497" t="str">
        <f>"248030400311"</f>
        <v>248030400311</v>
      </c>
      <c r="O4497" t="str">
        <f>"532524199804120310"</f>
        <v>532524199804120310</v>
      </c>
    </row>
    <row r="4498" customFormat="1" spans="1:15">
      <c r="A4498">
        <v>5824</v>
      </c>
      <c r="B4498" t="s">
        <v>4934</v>
      </c>
      <c r="C4498" t="str">
        <f>"350524200008307424"</f>
        <v>350524200008307424</v>
      </c>
      <c r="D4498" t="str">
        <f>"248030202109"</f>
        <v>248030202109</v>
      </c>
      <c r="L4498">
        <v>5824</v>
      </c>
      <c r="M4498" t="s">
        <v>4934</v>
      </c>
      <c r="N4498" t="str">
        <f>"248030202109"</f>
        <v>248030202109</v>
      </c>
      <c r="O4498" t="str">
        <f>"350524200008307424"</f>
        <v>350524200008307424</v>
      </c>
    </row>
    <row r="4499" customFormat="1" spans="1:15">
      <c r="A4499">
        <v>5825</v>
      </c>
      <c r="B4499" t="s">
        <v>4935</v>
      </c>
      <c r="C4499" t="str">
        <f>"460033199610143222"</f>
        <v>460033199610143222</v>
      </c>
      <c r="D4499" t="str">
        <f>"248030401801"</f>
        <v>248030401801</v>
      </c>
      <c r="L4499">
        <v>5825</v>
      </c>
      <c r="M4499" t="s">
        <v>4935</v>
      </c>
      <c r="N4499" t="str">
        <f>"248030401801"</f>
        <v>248030401801</v>
      </c>
      <c r="O4499" t="str">
        <f>"460033199610143222"</f>
        <v>460033199610143222</v>
      </c>
    </row>
    <row r="4500" customFormat="1" spans="1:15">
      <c r="A4500">
        <v>5827</v>
      </c>
      <c r="B4500" t="s">
        <v>4936</v>
      </c>
      <c r="C4500" t="str">
        <f>"130435198805200948"</f>
        <v>130435198805200948</v>
      </c>
      <c r="L4500">
        <v>5827</v>
      </c>
      <c r="M4500" t="s">
        <v>4936</v>
      </c>
      <c r="O4500" t="str">
        <f>"130435198805200948"</f>
        <v>130435198805200948</v>
      </c>
    </row>
    <row r="4501" customFormat="1" spans="1:15">
      <c r="A4501">
        <v>5828</v>
      </c>
      <c r="B4501" t="s">
        <v>4937</v>
      </c>
      <c r="C4501" t="str">
        <f>"460035199904181323"</f>
        <v>460035199904181323</v>
      </c>
      <c r="L4501">
        <v>5828</v>
      </c>
      <c r="M4501" t="s">
        <v>4937</v>
      </c>
      <c r="O4501" t="str">
        <f>"460035199904181323"</f>
        <v>460035199904181323</v>
      </c>
    </row>
    <row r="4502" customFormat="1" spans="1:15">
      <c r="A4502">
        <v>5829</v>
      </c>
      <c r="B4502" t="s">
        <v>4938</v>
      </c>
      <c r="C4502" t="str">
        <f>"232301199910071827"</f>
        <v>232301199910071827</v>
      </c>
      <c r="D4502" t="str">
        <f>"248030203215"</f>
        <v>248030203215</v>
      </c>
      <c r="L4502">
        <v>5829</v>
      </c>
      <c r="M4502" t="s">
        <v>4938</v>
      </c>
      <c r="N4502" t="str">
        <f>"248030203215"</f>
        <v>248030203215</v>
      </c>
      <c r="O4502" t="str">
        <f>"232301199910071827"</f>
        <v>232301199910071827</v>
      </c>
    </row>
    <row r="4503" customFormat="1" spans="1:15">
      <c r="A4503">
        <v>5830</v>
      </c>
      <c r="B4503" t="s">
        <v>4939</v>
      </c>
      <c r="C4503" t="str">
        <f>"460033199507131784"</f>
        <v>460033199507131784</v>
      </c>
      <c r="D4503" t="str">
        <f>"248030103324"</f>
        <v>248030103324</v>
      </c>
      <c r="L4503">
        <v>5830</v>
      </c>
      <c r="M4503" t="s">
        <v>4939</v>
      </c>
      <c r="N4503" t="str">
        <f>"248030103324"</f>
        <v>248030103324</v>
      </c>
      <c r="O4503" t="str">
        <f>"460033199507131784"</f>
        <v>460033199507131784</v>
      </c>
    </row>
    <row r="4504" customFormat="1" spans="1:15">
      <c r="A4504">
        <v>5831</v>
      </c>
      <c r="B4504" t="s">
        <v>4940</v>
      </c>
      <c r="C4504" t="str">
        <f>"500240199806042404"</f>
        <v>500240199806042404</v>
      </c>
      <c r="L4504">
        <v>5831</v>
      </c>
      <c r="M4504" t="s">
        <v>4940</v>
      </c>
      <c r="O4504" t="str">
        <f>"500240199806042404"</f>
        <v>500240199806042404</v>
      </c>
    </row>
    <row r="4505" customFormat="1" spans="1:15">
      <c r="A4505">
        <v>5832</v>
      </c>
      <c r="B4505" t="s">
        <v>4941</v>
      </c>
      <c r="C4505" t="str">
        <f>"460028199903153626"</f>
        <v>460028199903153626</v>
      </c>
      <c r="D4505" t="str">
        <f>"248030101008"</f>
        <v>248030101008</v>
      </c>
      <c r="L4505">
        <v>5832</v>
      </c>
      <c r="M4505" t="s">
        <v>4941</v>
      </c>
      <c r="N4505" t="str">
        <f>"248030101008"</f>
        <v>248030101008</v>
      </c>
      <c r="O4505" t="str">
        <f>"460028199903153626"</f>
        <v>460028199903153626</v>
      </c>
    </row>
    <row r="4506" customFormat="1" spans="1:15">
      <c r="A4506">
        <v>5833</v>
      </c>
      <c r="B4506" t="s">
        <v>4942</v>
      </c>
      <c r="C4506" t="str">
        <f>"469003200001084824"</f>
        <v>469003200001084824</v>
      </c>
      <c r="D4506" t="str">
        <f>"248030502510"</f>
        <v>248030502510</v>
      </c>
      <c r="L4506">
        <v>5833</v>
      </c>
      <c r="M4506" t="s">
        <v>4942</v>
      </c>
      <c r="N4506" t="str">
        <f>"248030502510"</f>
        <v>248030502510</v>
      </c>
      <c r="O4506" t="str">
        <f>"469003200001084824"</f>
        <v>469003200001084824</v>
      </c>
    </row>
    <row r="4507" customFormat="1" spans="1:15">
      <c r="A4507">
        <v>5834</v>
      </c>
      <c r="B4507" t="s">
        <v>4943</v>
      </c>
      <c r="C4507" t="str">
        <f>"460028199812056820"</f>
        <v>460028199812056820</v>
      </c>
      <c r="D4507" t="str">
        <f>"248030102620"</f>
        <v>248030102620</v>
      </c>
      <c r="L4507">
        <v>5834</v>
      </c>
      <c r="M4507" t="s">
        <v>4943</v>
      </c>
      <c r="N4507" t="str">
        <f>"248030102620"</f>
        <v>248030102620</v>
      </c>
      <c r="O4507" t="str">
        <f>"460028199812056820"</f>
        <v>460028199812056820</v>
      </c>
    </row>
    <row r="4508" customFormat="1" spans="1:15">
      <c r="A4508">
        <v>5836</v>
      </c>
      <c r="B4508" t="s">
        <v>4944</v>
      </c>
      <c r="C4508" t="str">
        <f>"460005200101267622"</f>
        <v>460005200101267622</v>
      </c>
      <c r="D4508" t="str">
        <f>"248030501105"</f>
        <v>248030501105</v>
      </c>
      <c r="L4508">
        <v>5836</v>
      </c>
      <c r="M4508" t="s">
        <v>4944</v>
      </c>
      <c r="N4508" t="str">
        <f>"248030501105"</f>
        <v>248030501105</v>
      </c>
      <c r="O4508" t="str">
        <f>"460005200101267622"</f>
        <v>460005200101267622</v>
      </c>
    </row>
    <row r="4509" customFormat="1" spans="1:15">
      <c r="A4509">
        <v>5837</v>
      </c>
      <c r="B4509" t="s">
        <v>4945</v>
      </c>
      <c r="C4509" t="str">
        <f>"460034199610023059"</f>
        <v>460034199610023059</v>
      </c>
      <c r="D4509" t="str">
        <f>"248030201215"</f>
        <v>248030201215</v>
      </c>
      <c r="L4509">
        <v>5837</v>
      </c>
      <c r="M4509" t="s">
        <v>4945</v>
      </c>
      <c r="N4509" t="str">
        <f>"248030201215"</f>
        <v>248030201215</v>
      </c>
      <c r="O4509" t="str">
        <f>"460034199610023059"</f>
        <v>460034199610023059</v>
      </c>
    </row>
    <row r="4510" customFormat="1" spans="1:15">
      <c r="A4510">
        <v>5838</v>
      </c>
      <c r="B4510" t="s">
        <v>4946</v>
      </c>
      <c r="C4510" t="str">
        <f>"469003199509284821"</f>
        <v>469003199509284821</v>
      </c>
      <c r="D4510" t="str">
        <f>"248030403221"</f>
        <v>248030403221</v>
      </c>
      <c r="L4510">
        <v>5838</v>
      </c>
      <c r="M4510" t="s">
        <v>4946</v>
      </c>
      <c r="N4510" t="str">
        <f>"248030403221"</f>
        <v>248030403221</v>
      </c>
      <c r="O4510" t="str">
        <f>"469003199509284821"</f>
        <v>469003199509284821</v>
      </c>
    </row>
    <row r="4511" customFormat="1" spans="1:15">
      <c r="A4511">
        <v>5839</v>
      </c>
      <c r="B4511" t="s">
        <v>4947</v>
      </c>
      <c r="C4511" t="str">
        <f>"431123199612242548"</f>
        <v>431123199612242548</v>
      </c>
      <c r="D4511" t="str">
        <f>"248030403517"</f>
        <v>248030403517</v>
      </c>
      <c r="L4511">
        <v>5839</v>
      </c>
      <c r="M4511" t="s">
        <v>4947</v>
      </c>
      <c r="N4511" t="str">
        <f>"248030403517"</f>
        <v>248030403517</v>
      </c>
      <c r="O4511" t="str">
        <f>"431123199612242548"</f>
        <v>431123199612242548</v>
      </c>
    </row>
    <row r="4512" customFormat="1" spans="1:15">
      <c r="A4512">
        <v>5840</v>
      </c>
      <c r="B4512" t="s">
        <v>4948</v>
      </c>
      <c r="C4512" t="str">
        <f>"230202199603120042"</f>
        <v>230202199603120042</v>
      </c>
      <c r="D4512" t="str">
        <f>"248030102321"</f>
        <v>248030102321</v>
      </c>
      <c r="L4512">
        <v>5840</v>
      </c>
      <c r="M4512" t="s">
        <v>4948</v>
      </c>
      <c r="N4512" t="str">
        <f>"248030102321"</f>
        <v>248030102321</v>
      </c>
      <c r="O4512" t="str">
        <f>"230202199603120042"</f>
        <v>230202199603120042</v>
      </c>
    </row>
    <row r="4513" customFormat="1" spans="1:15">
      <c r="A4513">
        <v>5841</v>
      </c>
      <c r="B4513" t="s">
        <v>4949</v>
      </c>
      <c r="C4513" t="str">
        <f>"230622199408080409"</f>
        <v>230622199408080409</v>
      </c>
      <c r="D4513" t="str">
        <f>"248030403222"</f>
        <v>248030403222</v>
      </c>
      <c r="L4513">
        <v>5841</v>
      </c>
      <c r="M4513" t="s">
        <v>4949</v>
      </c>
      <c r="N4513" t="str">
        <f>"248030403222"</f>
        <v>248030403222</v>
      </c>
      <c r="O4513" t="str">
        <f>"230622199408080409"</f>
        <v>230622199408080409</v>
      </c>
    </row>
    <row r="4514" customFormat="1" spans="1:15">
      <c r="A4514">
        <v>5842</v>
      </c>
      <c r="B4514" t="s">
        <v>4950</v>
      </c>
      <c r="C4514" t="str">
        <f>"460004198902231623"</f>
        <v>460004198902231623</v>
      </c>
      <c r="D4514" t="str">
        <f>"248030500810"</f>
        <v>248030500810</v>
      </c>
      <c r="L4514">
        <v>5842</v>
      </c>
      <c r="M4514" t="s">
        <v>4950</v>
      </c>
      <c r="N4514" t="str">
        <f>"248030500810"</f>
        <v>248030500810</v>
      </c>
      <c r="O4514" t="str">
        <f>"460004198902231623"</f>
        <v>460004198902231623</v>
      </c>
    </row>
    <row r="4515" customFormat="1" spans="1:15">
      <c r="A4515">
        <v>5843</v>
      </c>
      <c r="B4515" t="s">
        <v>4951</v>
      </c>
      <c r="C4515" t="str">
        <f>"460031199109057264"</f>
        <v>460031199109057264</v>
      </c>
      <c r="D4515" t="str">
        <f>"248030200315"</f>
        <v>248030200315</v>
      </c>
      <c r="L4515">
        <v>5843</v>
      </c>
      <c r="M4515" t="s">
        <v>4951</v>
      </c>
      <c r="N4515" t="str">
        <f>"248030200315"</f>
        <v>248030200315</v>
      </c>
      <c r="O4515" t="str">
        <f>"460031199109057264"</f>
        <v>460031199109057264</v>
      </c>
    </row>
    <row r="4516" customFormat="1" spans="1:15">
      <c r="A4516">
        <v>5844</v>
      </c>
      <c r="B4516" t="s">
        <v>4952</v>
      </c>
      <c r="C4516" t="str">
        <f>"460002199812060527"</f>
        <v>460002199812060527</v>
      </c>
      <c r="D4516" t="str">
        <f>"248030403503"</f>
        <v>248030403503</v>
      </c>
      <c r="L4516">
        <v>5844</v>
      </c>
      <c r="M4516" t="s">
        <v>4952</v>
      </c>
      <c r="N4516" t="str">
        <f>"248030403503"</f>
        <v>248030403503</v>
      </c>
      <c r="O4516" t="str">
        <f>"460002199812060527"</f>
        <v>460002199812060527</v>
      </c>
    </row>
    <row r="4517" customFormat="1" spans="1:15">
      <c r="A4517">
        <v>5845</v>
      </c>
      <c r="B4517" t="s">
        <v>4953</v>
      </c>
      <c r="C4517" t="str">
        <f>"460006198608163423"</f>
        <v>460006198608163423</v>
      </c>
      <c r="D4517" t="str">
        <f>"248030500727"</f>
        <v>248030500727</v>
      </c>
      <c r="L4517">
        <v>5845</v>
      </c>
      <c r="M4517" t="s">
        <v>4953</v>
      </c>
      <c r="N4517" t="str">
        <f>"248030500727"</f>
        <v>248030500727</v>
      </c>
      <c r="O4517" t="str">
        <f>"460006198608163423"</f>
        <v>460006198608163423</v>
      </c>
    </row>
    <row r="4518" customFormat="1" spans="1:15">
      <c r="A4518">
        <v>5846</v>
      </c>
      <c r="B4518" t="s">
        <v>4954</v>
      </c>
      <c r="C4518" t="str">
        <f>"421302199105167683"</f>
        <v>421302199105167683</v>
      </c>
      <c r="L4518">
        <v>5846</v>
      </c>
      <c r="M4518" t="s">
        <v>4954</v>
      </c>
      <c r="O4518" t="str">
        <f>"421302199105167683"</f>
        <v>421302199105167683</v>
      </c>
    </row>
    <row r="4519" customFormat="1" spans="1:15">
      <c r="A4519">
        <v>5847</v>
      </c>
      <c r="B4519" t="s">
        <v>277</v>
      </c>
      <c r="C4519" t="str">
        <f>"460028200011283228"</f>
        <v>460028200011283228</v>
      </c>
      <c r="D4519" t="str">
        <f>"248030403801"</f>
        <v>248030403801</v>
      </c>
      <c r="L4519">
        <v>5847</v>
      </c>
      <c r="M4519" t="s">
        <v>277</v>
      </c>
      <c r="N4519" t="str">
        <f>"248030403801"</f>
        <v>248030403801</v>
      </c>
      <c r="O4519" t="str">
        <f>"460028200011283228"</f>
        <v>460028200011283228</v>
      </c>
    </row>
    <row r="4520" customFormat="1" spans="1:15">
      <c r="A4520">
        <v>5848</v>
      </c>
      <c r="B4520" t="s">
        <v>3925</v>
      </c>
      <c r="C4520" t="str">
        <f>"460027199107215623"</f>
        <v>460027199107215623</v>
      </c>
      <c r="D4520" t="str">
        <f>"248030500911"</f>
        <v>248030500911</v>
      </c>
      <c r="L4520">
        <v>5848</v>
      </c>
      <c r="M4520" t="s">
        <v>3925</v>
      </c>
      <c r="N4520" t="str">
        <f>"248030500911"</f>
        <v>248030500911</v>
      </c>
      <c r="O4520" t="str">
        <f>"460027199107215623"</f>
        <v>460027199107215623</v>
      </c>
    </row>
    <row r="4521" customFormat="1" spans="1:15">
      <c r="A4521">
        <v>5849</v>
      </c>
      <c r="B4521" t="s">
        <v>4955</v>
      </c>
      <c r="C4521" t="str">
        <f>"460006199708146828"</f>
        <v>460006199708146828</v>
      </c>
      <c r="L4521">
        <v>5849</v>
      </c>
      <c r="M4521" t="s">
        <v>4955</v>
      </c>
      <c r="O4521" t="str">
        <f>"460006199708146828"</f>
        <v>460006199708146828</v>
      </c>
    </row>
    <row r="4522" customFormat="1" spans="1:15">
      <c r="A4522">
        <v>5850</v>
      </c>
      <c r="B4522" t="s">
        <v>4956</v>
      </c>
      <c r="C4522" t="str">
        <f>"469006199809154649"</f>
        <v>469006199809154649</v>
      </c>
      <c r="L4522">
        <v>5850</v>
      </c>
      <c r="M4522" t="s">
        <v>4956</v>
      </c>
      <c r="O4522" t="str">
        <f>"469006199809154649"</f>
        <v>469006199809154649</v>
      </c>
    </row>
    <row r="4523" customFormat="1" spans="1:15">
      <c r="A4523">
        <v>5852</v>
      </c>
      <c r="B4523" t="s">
        <v>4957</v>
      </c>
      <c r="C4523" t="str">
        <f>"469027200108162387"</f>
        <v>469027200108162387</v>
      </c>
      <c r="D4523" t="str">
        <f>"248030400121"</f>
        <v>248030400121</v>
      </c>
      <c r="L4523">
        <v>5852</v>
      </c>
      <c r="M4523" t="s">
        <v>4957</v>
      </c>
      <c r="N4523" t="str">
        <f>"248030400121"</f>
        <v>248030400121</v>
      </c>
      <c r="O4523" t="str">
        <f>"469027200108162387"</f>
        <v>469027200108162387</v>
      </c>
    </row>
    <row r="4524" customFormat="1" spans="1:15">
      <c r="A4524">
        <v>5854</v>
      </c>
      <c r="B4524" t="s">
        <v>4958</v>
      </c>
      <c r="C4524" t="str">
        <f>"460006199909292020"</f>
        <v>460006199909292020</v>
      </c>
      <c r="D4524" t="str">
        <f>"248030103320"</f>
        <v>248030103320</v>
      </c>
      <c r="L4524">
        <v>5854</v>
      </c>
      <c r="M4524" t="s">
        <v>4958</v>
      </c>
      <c r="N4524" t="str">
        <f>"248030103320"</f>
        <v>248030103320</v>
      </c>
      <c r="O4524" t="str">
        <f>"460006199909292020"</f>
        <v>460006199909292020</v>
      </c>
    </row>
    <row r="4525" customFormat="1" spans="1:15">
      <c r="A4525">
        <v>5855</v>
      </c>
      <c r="B4525" t="s">
        <v>4959</v>
      </c>
      <c r="C4525" t="str">
        <f>"460027198912174727"</f>
        <v>460027198912174727</v>
      </c>
      <c r="D4525" t="str">
        <f>"248030403007"</f>
        <v>248030403007</v>
      </c>
      <c r="L4525">
        <v>5855</v>
      </c>
      <c r="M4525" t="s">
        <v>4959</v>
      </c>
      <c r="N4525" t="str">
        <f>"248030403007"</f>
        <v>248030403007</v>
      </c>
      <c r="O4525" t="str">
        <f>"460027198912174727"</f>
        <v>460027198912174727</v>
      </c>
    </row>
    <row r="4526" customFormat="1" spans="1:15">
      <c r="A4526">
        <v>5856</v>
      </c>
      <c r="B4526" t="s">
        <v>4960</v>
      </c>
      <c r="C4526" t="str">
        <f>"460026199708081222"</f>
        <v>460026199708081222</v>
      </c>
      <c r="D4526" t="str">
        <f>"248030100114"</f>
        <v>248030100114</v>
      </c>
      <c r="L4526">
        <v>5856</v>
      </c>
      <c r="M4526" t="s">
        <v>4960</v>
      </c>
      <c r="N4526" t="str">
        <f>"248030100114"</f>
        <v>248030100114</v>
      </c>
      <c r="O4526" t="str">
        <f>"460026199708081222"</f>
        <v>460026199708081222</v>
      </c>
    </row>
    <row r="4527" customFormat="1" spans="1:15">
      <c r="A4527">
        <v>5857</v>
      </c>
      <c r="B4527" t="s">
        <v>4961</v>
      </c>
      <c r="C4527" t="str">
        <f>"421222199411060040"</f>
        <v>421222199411060040</v>
      </c>
      <c r="L4527">
        <v>5857</v>
      </c>
      <c r="M4527" t="s">
        <v>4961</v>
      </c>
      <c r="O4527" t="str">
        <f>"421222199411060040"</f>
        <v>421222199411060040</v>
      </c>
    </row>
    <row r="4528" customFormat="1" spans="1:15">
      <c r="A4528">
        <v>5858</v>
      </c>
      <c r="B4528" t="s">
        <v>4962</v>
      </c>
      <c r="C4528" t="str">
        <f>"469026200107166822"</f>
        <v>469026200107166822</v>
      </c>
      <c r="D4528" t="str">
        <f>"248030501003"</f>
        <v>248030501003</v>
      </c>
      <c r="L4528">
        <v>5858</v>
      </c>
      <c r="M4528" t="s">
        <v>4962</v>
      </c>
      <c r="N4528" t="str">
        <f>"248030501003"</f>
        <v>248030501003</v>
      </c>
      <c r="O4528" t="str">
        <f>"469026200107166822"</f>
        <v>469026200107166822</v>
      </c>
    </row>
    <row r="4529" customFormat="1" spans="1:15">
      <c r="A4529">
        <v>5859</v>
      </c>
      <c r="B4529" t="s">
        <v>4963</v>
      </c>
      <c r="C4529" t="str">
        <f>"421127200005191960"</f>
        <v>421127200005191960</v>
      </c>
      <c r="L4529">
        <v>5859</v>
      </c>
      <c r="M4529" t="s">
        <v>4963</v>
      </c>
      <c r="O4529" t="str">
        <f>"421127200005191960"</f>
        <v>421127200005191960</v>
      </c>
    </row>
    <row r="4530" customFormat="1" spans="1:15">
      <c r="A4530">
        <v>5860</v>
      </c>
      <c r="B4530" t="s">
        <v>4964</v>
      </c>
      <c r="C4530" t="str">
        <f>"411321200007101528"</f>
        <v>411321200007101528</v>
      </c>
      <c r="D4530" t="str">
        <f>"248030100810"</f>
        <v>248030100810</v>
      </c>
      <c r="L4530">
        <v>5860</v>
      </c>
      <c r="M4530" t="s">
        <v>4964</v>
      </c>
      <c r="N4530" t="str">
        <f>"248030100810"</f>
        <v>248030100810</v>
      </c>
      <c r="O4530" t="str">
        <f>"411321200007101528"</f>
        <v>411321200007101528</v>
      </c>
    </row>
    <row r="4531" customFormat="1" spans="1:15">
      <c r="A4531">
        <v>5861</v>
      </c>
      <c r="B4531" t="s">
        <v>2171</v>
      </c>
      <c r="C4531" t="str">
        <f>"460103200207112429"</f>
        <v>460103200207112429</v>
      </c>
      <c r="D4531" t="str">
        <f>"248030504102"</f>
        <v>248030504102</v>
      </c>
      <c r="L4531">
        <v>5861</v>
      </c>
      <c r="M4531" t="s">
        <v>2171</v>
      </c>
      <c r="N4531" t="str">
        <f>"248030504102"</f>
        <v>248030504102</v>
      </c>
      <c r="O4531" t="str">
        <f>"460103200207112429"</f>
        <v>460103200207112429</v>
      </c>
    </row>
    <row r="4532" customFormat="1" spans="1:15">
      <c r="A4532">
        <v>5862</v>
      </c>
      <c r="B4532" t="s">
        <v>4965</v>
      </c>
      <c r="C4532" t="str">
        <f>"460028199107266822"</f>
        <v>460028199107266822</v>
      </c>
      <c r="D4532" t="str">
        <f>"248030402501"</f>
        <v>248030402501</v>
      </c>
      <c r="L4532">
        <v>5862</v>
      </c>
      <c r="M4532" t="s">
        <v>4965</v>
      </c>
      <c r="N4532" t="str">
        <f>"248030402501"</f>
        <v>248030402501</v>
      </c>
      <c r="O4532" t="str">
        <f>"460028199107266822"</f>
        <v>460028199107266822</v>
      </c>
    </row>
    <row r="4533" customFormat="1" spans="1:15">
      <c r="A4533">
        <v>5864</v>
      </c>
      <c r="B4533" t="s">
        <v>4966</v>
      </c>
      <c r="C4533" t="str">
        <f>"460003199711146029"</f>
        <v>460003199711146029</v>
      </c>
      <c r="L4533">
        <v>5864</v>
      </c>
      <c r="M4533" t="s">
        <v>4966</v>
      </c>
      <c r="O4533" t="str">
        <f>"460003199711146029"</f>
        <v>460003199711146029</v>
      </c>
    </row>
    <row r="4534" customFormat="1" spans="1:15">
      <c r="A4534">
        <v>5865</v>
      </c>
      <c r="B4534" t="s">
        <v>4967</v>
      </c>
      <c r="C4534" t="str">
        <f>"61012119860130514X"</f>
        <v>61012119860130514X</v>
      </c>
      <c r="D4534" t="str">
        <f>"248030200510"</f>
        <v>248030200510</v>
      </c>
      <c r="L4534">
        <v>5865</v>
      </c>
      <c r="M4534" t="s">
        <v>4967</v>
      </c>
      <c r="N4534" t="str">
        <f>"248030200510"</f>
        <v>248030200510</v>
      </c>
      <c r="O4534" t="str">
        <f>"61012119860130514X"</f>
        <v>61012119860130514X</v>
      </c>
    </row>
    <row r="4535" customFormat="1" spans="1:15">
      <c r="A4535">
        <v>5866</v>
      </c>
      <c r="B4535" t="s">
        <v>2171</v>
      </c>
      <c r="C4535" t="str">
        <f>"420582198902281662"</f>
        <v>420582198902281662</v>
      </c>
      <c r="D4535" t="str">
        <f>"248030102920"</f>
        <v>248030102920</v>
      </c>
      <c r="L4535">
        <v>5866</v>
      </c>
      <c r="M4535" t="s">
        <v>2171</v>
      </c>
      <c r="N4535" t="str">
        <f>"248030102920"</f>
        <v>248030102920</v>
      </c>
      <c r="O4535" t="str">
        <f>"420582198902281662"</f>
        <v>420582198902281662</v>
      </c>
    </row>
    <row r="4536" customFormat="1" spans="1:15">
      <c r="A4536">
        <v>5867</v>
      </c>
      <c r="B4536" t="s">
        <v>4968</v>
      </c>
      <c r="C4536" t="str">
        <f>"460007199212305764"</f>
        <v>460007199212305764</v>
      </c>
      <c r="D4536" t="str">
        <f>"248030200122"</f>
        <v>248030200122</v>
      </c>
      <c r="L4536">
        <v>5867</v>
      </c>
      <c r="M4536" t="s">
        <v>4968</v>
      </c>
      <c r="N4536" t="str">
        <f>"248030200122"</f>
        <v>248030200122</v>
      </c>
      <c r="O4536" t="str">
        <f>"460007199212305764"</f>
        <v>460007199212305764</v>
      </c>
    </row>
    <row r="4537" customFormat="1" spans="1:15">
      <c r="A4537">
        <v>5868</v>
      </c>
      <c r="B4537" t="s">
        <v>4969</v>
      </c>
      <c r="C4537" t="str">
        <f>"460028199010043622"</f>
        <v>460028199010043622</v>
      </c>
      <c r="D4537" t="str">
        <f>"248030402014"</f>
        <v>248030402014</v>
      </c>
      <c r="L4537">
        <v>5868</v>
      </c>
      <c r="M4537" t="s">
        <v>4969</v>
      </c>
      <c r="N4537" t="str">
        <f>"248030402014"</f>
        <v>248030402014</v>
      </c>
      <c r="O4537" t="str">
        <f>"460028199010043622"</f>
        <v>460028199010043622</v>
      </c>
    </row>
    <row r="4538" customFormat="1" spans="1:15">
      <c r="A4538">
        <v>5869</v>
      </c>
      <c r="B4538" t="s">
        <v>4970</v>
      </c>
      <c r="C4538" t="str">
        <f>"460027199911013811"</f>
        <v>460027199911013811</v>
      </c>
      <c r="D4538" t="str">
        <f>"248030402116"</f>
        <v>248030402116</v>
      </c>
      <c r="L4538">
        <v>5869</v>
      </c>
      <c r="M4538" t="s">
        <v>4970</v>
      </c>
      <c r="N4538" t="str">
        <f>"248030402116"</f>
        <v>248030402116</v>
      </c>
      <c r="O4538" t="str">
        <f>"460027199911013811"</f>
        <v>460027199911013811</v>
      </c>
    </row>
    <row r="4539" customFormat="1" spans="1:15">
      <c r="A4539">
        <v>5870</v>
      </c>
      <c r="B4539" t="s">
        <v>4971</v>
      </c>
      <c r="C4539" t="str">
        <f>"460004199602012626"</f>
        <v>460004199602012626</v>
      </c>
      <c r="D4539" t="str">
        <f>"248030502612"</f>
        <v>248030502612</v>
      </c>
      <c r="L4539">
        <v>5870</v>
      </c>
      <c r="M4539" t="s">
        <v>4971</v>
      </c>
      <c r="N4539" t="str">
        <f>"248030502612"</f>
        <v>248030502612</v>
      </c>
      <c r="O4539" t="str">
        <f>"460004199602012626"</f>
        <v>460004199602012626</v>
      </c>
    </row>
    <row r="4540" customFormat="1" spans="1:15">
      <c r="A4540">
        <v>5872</v>
      </c>
      <c r="B4540" t="s">
        <v>4972</v>
      </c>
      <c r="C4540" t="str">
        <f>"460103199204091524"</f>
        <v>460103199204091524</v>
      </c>
      <c r="D4540" t="str">
        <f>"248030100809"</f>
        <v>248030100809</v>
      </c>
      <c r="L4540">
        <v>5872</v>
      </c>
      <c r="M4540" t="s">
        <v>4972</v>
      </c>
      <c r="N4540" t="str">
        <f>"248030100809"</f>
        <v>248030100809</v>
      </c>
      <c r="O4540" t="str">
        <f>"460103199204091524"</f>
        <v>460103199204091524</v>
      </c>
    </row>
    <row r="4541" customFormat="1" spans="1:15">
      <c r="A4541">
        <v>5873</v>
      </c>
      <c r="B4541" t="s">
        <v>4973</v>
      </c>
      <c r="C4541" t="str">
        <f>"460003199011206625"</f>
        <v>460003199011206625</v>
      </c>
      <c r="L4541">
        <v>5873</v>
      </c>
      <c r="M4541" t="s">
        <v>4973</v>
      </c>
      <c r="O4541" t="str">
        <f>"460003199011206625"</f>
        <v>460003199011206625</v>
      </c>
    </row>
    <row r="4542" customFormat="1" spans="1:15">
      <c r="A4542">
        <v>5874</v>
      </c>
      <c r="B4542" t="s">
        <v>4974</v>
      </c>
      <c r="C4542" t="str">
        <f>"460104200101161528"</f>
        <v>460104200101161528</v>
      </c>
      <c r="D4542" t="str">
        <f>"248030102205"</f>
        <v>248030102205</v>
      </c>
      <c r="L4542">
        <v>5874</v>
      </c>
      <c r="M4542" t="s">
        <v>4974</v>
      </c>
      <c r="N4542" t="str">
        <f>"248030102205"</f>
        <v>248030102205</v>
      </c>
      <c r="O4542" t="str">
        <f>"460104200101161528"</f>
        <v>460104200101161528</v>
      </c>
    </row>
    <row r="4543" customFormat="1" spans="1:15">
      <c r="A4543">
        <v>5875</v>
      </c>
      <c r="B4543" t="s">
        <v>714</v>
      </c>
      <c r="C4543" t="str">
        <f>"460004199811025247"</f>
        <v>460004199811025247</v>
      </c>
      <c r="D4543" t="str">
        <f>"248030504122"</f>
        <v>248030504122</v>
      </c>
      <c r="L4543">
        <v>5875</v>
      </c>
      <c r="M4543" t="s">
        <v>714</v>
      </c>
      <c r="N4543" t="str">
        <f>"248030504122"</f>
        <v>248030504122</v>
      </c>
      <c r="O4543" t="str">
        <f>"460004199811025247"</f>
        <v>460004199811025247</v>
      </c>
    </row>
    <row r="4544" customFormat="1" spans="1:15">
      <c r="A4544">
        <v>5876</v>
      </c>
      <c r="B4544" t="s">
        <v>4975</v>
      </c>
      <c r="C4544" t="str">
        <f>"152131199411204848"</f>
        <v>152131199411204848</v>
      </c>
      <c r="D4544" t="str">
        <f>"248030401620"</f>
        <v>248030401620</v>
      </c>
      <c r="L4544">
        <v>5876</v>
      </c>
      <c r="M4544" t="s">
        <v>4975</v>
      </c>
      <c r="N4544" t="str">
        <f>"248030401620"</f>
        <v>248030401620</v>
      </c>
      <c r="O4544" t="str">
        <f>"152131199411204848"</f>
        <v>152131199411204848</v>
      </c>
    </row>
    <row r="4545" customFormat="1" spans="1:15">
      <c r="A4545">
        <v>5877</v>
      </c>
      <c r="B4545" t="s">
        <v>4976</v>
      </c>
      <c r="C4545" t="str">
        <f>"460033200204124814"</f>
        <v>460033200204124814</v>
      </c>
      <c r="D4545" t="str">
        <f>"248030302316"</f>
        <v>248030302316</v>
      </c>
      <c r="L4545">
        <v>5877</v>
      </c>
      <c r="M4545" t="s">
        <v>4976</v>
      </c>
      <c r="N4545" t="str">
        <f>"248030302316"</f>
        <v>248030302316</v>
      </c>
      <c r="O4545" t="str">
        <f>"460033200204124814"</f>
        <v>460033200204124814</v>
      </c>
    </row>
    <row r="4546" customFormat="1" spans="1:15">
      <c r="A4546">
        <v>5879</v>
      </c>
      <c r="B4546" t="s">
        <v>4977</v>
      </c>
      <c r="C4546" t="str">
        <f>"460033199008293447"</f>
        <v>460033199008293447</v>
      </c>
      <c r="D4546" t="str">
        <f>"248030500228"</f>
        <v>248030500228</v>
      </c>
      <c r="L4546">
        <v>5879</v>
      </c>
      <c r="M4546" t="s">
        <v>4977</v>
      </c>
      <c r="N4546" t="str">
        <f>"248030500228"</f>
        <v>248030500228</v>
      </c>
      <c r="O4546" t="str">
        <f>"460033199008293447"</f>
        <v>460033199008293447</v>
      </c>
    </row>
    <row r="4547" customFormat="1" spans="1:15">
      <c r="A4547">
        <v>5880</v>
      </c>
      <c r="B4547" t="s">
        <v>4978</v>
      </c>
      <c r="C4547" t="str">
        <f>"460032199408126166"</f>
        <v>460032199408126166</v>
      </c>
      <c r="D4547" t="str">
        <f>"248030103007"</f>
        <v>248030103007</v>
      </c>
      <c r="L4547">
        <v>5880</v>
      </c>
      <c r="M4547" t="s">
        <v>4978</v>
      </c>
      <c r="N4547" t="str">
        <f>"248030103007"</f>
        <v>248030103007</v>
      </c>
      <c r="O4547" t="str">
        <f>"460032199408126166"</f>
        <v>460032199408126166</v>
      </c>
    </row>
    <row r="4548" customFormat="1" spans="1:15">
      <c r="A4548">
        <v>5881</v>
      </c>
      <c r="B4548" t="s">
        <v>4979</v>
      </c>
      <c r="C4548" t="str">
        <f>"460028198908110428"</f>
        <v>460028198908110428</v>
      </c>
      <c r="L4548">
        <v>5881</v>
      </c>
      <c r="M4548" t="s">
        <v>4979</v>
      </c>
      <c r="O4548" t="str">
        <f>"460028198908110428"</f>
        <v>460028198908110428</v>
      </c>
    </row>
    <row r="4549" customFormat="1" spans="1:15">
      <c r="A4549">
        <v>5883</v>
      </c>
      <c r="B4549" t="s">
        <v>4980</v>
      </c>
      <c r="C4549" t="str">
        <f>"460105200202276822"</f>
        <v>460105200202276822</v>
      </c>
      <c r="D4549" t="str">
        <f>"248030104812"</f>
        <v>248030104812</v>
      </c>
      <c r="L4549">
        <v>5883</v>
      </c>
      <c r="M4549" t="s">
        <v>4980</v>
      </c>
      <c r="N4549" t="str">
        <f>"248030104812"</f>
        <v>248030104812</v>
      </c>
      <c r="O4549" t="str">
        <f>"460105200202276822"</f>
        <v>460105200202276822</v>
      </c>
    </row>
    <row r="4550" customFormat="1" spans="1:15">
      <c r="A4550">
        <v>5886</v>
      </c>
      <c r="B4550" t="s">
        <v>4981</v>
      </c>
      <c r="C4550" t="str">
        <f>"152530200008080022"</f>
        <v>152530200008080022</v>
      </c>
      <c r="D4550" t="str">
        <f>"248030103020"</f>
        <v>248030103020</v>
      </c>
      <c r="L4550">
        <v>5886</v>
      </c>
      <c r="M4550" t="s">
        <v>4981</v>
      </c>
      <c r="N4550" t="str">
        <f>"248030103020"</f>
        <v>248030103020</v>
      </c>
      <c r="O4550" t="str">
        <f>"152530200008080022"</f>
        <v>152530200008080022</v>
      </c>
    </row>
    <row r="4551" customFormat="1" spans="1:15">
      <c r="A4551">
        <v>5887</v>
      </c>
      <c r="B4551" t="s">
        <v>1898</v>
      </c>
      <c r="C4551" t="str">
        <f>"460025199910294823"</f>
        <v>460025199910294823</v>
      </c>
      <c r="L4551">
        <v>5887</v>
      </c>
      <c r="M4551" t="s">
        <v>1898</v>
      </c>
      <c r="O4551" t="str">
        <f>"460025199910294823"</f>
        <v>460025199910294823</v>
      </c>
    </row>
    <row r="4552" customFormat="1" spans="1:15">
      <c r="A4552">
        <v>5888</v>
      </c>
      <c r="B4552" t="s">
        <v>4982</v>
      </c>
      <c r="C4552" t="str">
        <f>"460004199501210869"</f>
        <v>460004199501210869</v>
      </c>
      <c r="D4552" t="str">
        <f>"248030502626"</f>
        <v>248030502626</v>
      </c>
      <c r="L4552">
        <v>5888</v>
      </c>
      <c r="M4552" t="s">
        <v>4982</v>
      </c>
      <c r="N4552" t="str">
        <f>"248030502626"</f>
        <v>248030502626</v>
      </c>
      <c r="O4552" t="str">
        <f>"460004199501210869"</f>
        <v>460004199501210869</v>
      </c>
    </row>
    <row r="4553" customFormat="1" spans="1:15">
      <c r="A4553">
        <v>5889</v>
      </c>
      <c r="B4553" t="s">
        <v>3408</v>
      </c>
      <c r="C4553" t="str">
        <f>"460027199907190022"</f>
        <v>460027199907190022</v>
      </c>
      <c r="D4553" t="str">
        <f>"248030100615"</f>
        <v>248030100615</v>
      </c>
      <c r="L4553">
        <v>5889</v>
      </c>
      <c r="M4553" t="s">
        <v>3408</v>
      </c>
      <c r="N4553" t="str">
        <f>"248030100615"</f>
        <v>248030100615</v>
      </c>
      <c r="O4553" t="str">
        <f>"460027199907190022"</f>
        <v>460027199907190022</v>
      </c>
    </row>
    <row r="4554" customFormat="1" spans="1:15">
      <c r="A4554">
        <v>5890</v>
      </c>
      <c r="B4554" t="s">
        <v>903</v>
      </c>
      <c r="C4554" t="str">
        <f>"469022200103151820"</f>
        <v>469022200103151820</v>
      </c>
      <c r="D4554" t="str">
        <f>"248030300320"</f>
        <v>248030300320</v>
      </c>
      <c r="L4554">
        <v>5890</v>
      </c>
      <c r="M4554" t="s">
        <v>903</v>
      </c>
      <c r="N4554" t="str">
        <f>"248030300320"</f>
        <v>248030300320</v>
      </c>
      <c r="O4554" t="str">
        <f>"469022200103151820"</f>
        <v>469022200103151820</v>
      </c>
    </row>
    <row r="4555" customFormat="1" spans="1:15">
      <c r="A4555">
        <v>5891</v>
      </c>
      <c r="B4555" t="s">
        <v>4983</v>
      </c>
      <c r="C4555" t="str">
        <f>"460004199501203423"</f>
        <v>460004199501203423</v>
      </c>
      <c r="D4555" t="str">
        <f>"248030300619"</f>
        <v>248030300619</v>
      </c>
      <c r="L4555">
        <v>5891</v>
      </c>
      <c r="M4555" t="s">
        <v>4983</v>
      </c>
      <c r="N4555" t="str">
        <f>"248030300619"</f>
        <v>248030300619</v>
      </c>
      <c r="O4555" t="str">
        <f>"460004199501203423"</f>
        <v>460004199501203423</v>
      </c>
    </row>
    <row r="4556" customFormat="1" spans="1:15">
      <c r="A4556">
        <v>5893</v>
      </c>
      <c r="B4556" t="s">
        <v>4984</v>
      </c>
      <c r="C4556" t="str">
        <f>"460028198807243627"</f>
        <v>460028198807243627</v>
      </c>
      <c r="D4556" t="str">
        <f>"248030101525"</f>
        <v>248030101525</v>
      </c>
      <c r="L4556">
        <v>5893</v>
      </c>
      <c r="M4556" t="s">
        <v>4984</v>
      </c>
      <c r="N4556" t="str">
        <f>"248030101525"</f>
        <v>248030101525</v>
      </c>
      <c r="O4556" t="str">
        <f>"460028198807243627"</f>
        <v>460028198807243627</v>
      </c>
    </row>
    <row r="4557" customFormat="1" spans="1:15">
      <c r="A4557">
        <v>5894</v>
      </c>
      <c r="B4557" t="s">
        <v>4985</v>
      </c>
      <c r="C4557" t="str">
        <f>"460003199903104229"</f>
        <v>460003199903104229</v>
      </c>
      <c r="D4557" t="str">
        <f>"248030500826"</f>
        <v>248030500826</v>
      </c>
      <c r="L4557">
        <v>5894</v>
      </c>
      <c r="M4557" t="s">
        <v>4985</v>
      </c>
      <c r="N4557" t="str">
        <f>"248030500826"</f>
        <v>248030500826</v>
      </c>
      <c r="O4557" t="str">
        <f>"460003199903104229"</f>
        <v>460003199903104229</v>
      </c>
    </row>
    <row r="4558" customFormat="1" spans="1:15">
      <c r="A4558">
        <v>5895</v>
      </c>
      <c r="B4558" t="s">
        <v>4986</v>
      </c>
      <c r="C4558" t="str">
        <f>"460003199612122662"</f>
        <v>460003199612122662</v>
      </c>
      <c r="D4558" t="str">
        <f>"248030102310"</f>
        <v>248030102310</v>
      </c>
      <c r="L4558">
        <v>5895</v>
      </c>
      <c r="M4558" t="s">
        <v>4986</v>
      </c>
      <c r="N4558" t="str">
        <f>"248030102310"</f>
        <v>248030102310</v>
      </c>
      <c r="O4558" t="str">
        <f>"460003199612122662"</f>
        <v>460003199612122662</v>
      </c>
    </row>
    <row r="4559" customFormat="1" spans="1:15">
      <c r="A4559">
        <v>5897</v>
      </c>
      <c r="B4559" t="s">
        <v>4987</v>
      </c>
      <c r="C4559" t="str">
        <f>"460003199808182253"</f>
        <v>460003199808182253</v>
      </c>
      <c r="L4559">
        <v>5897</v>
      </c>
      <c r="M4559" t="s">
        <v>4987</v>
      </c>
      <c r="O4559" t="str">
        <f>"460003199808182253"</f>
        <v>460003199808182253</v>
      </c>
    </row>
    <row r="4560" customFormat="1" spans="1:15">
      <c r="A4560">
        <v>5901</v>
      </c>
      <c r="B4560" t="s">
        <v>4988</v>
      </c>
      <c r="C4560" t="str">
        <f>"460103199208300100"</f>
        <v>460103199208300100</v>
      </c>
      <c r="D4560" t="str">
        <f>"248030502017"</f>
        <v>248030502017</v>
      </c>
      <c r="L4560">
        <v>5901</v>
      </c>
      <c r="M4560" t="s">
        <v>4988</v>
      </c>
      <c r="N4560" t="str">
        <f>"248030502017"</f>
        <v>248030502017</v>
      </c>
      <c r="O4560" t="str">
        <f>"460103199208300100"</f>
        <v>460103199208300100</v>
      </c>
    </row>
    <row r="4561" customFormat="1" spans="1:15">
      <c r="A4561">
        <v>5903</v>
      </c>
      <c r="B4561" t="s">
        <v>4989</v>
      </c>
      <c r="C4561" t="str">
        <f>"460005199502083220"</f>
        <v>460005199502083220</v>
      </c>
      <c r="L4561">
        <v>5903</v>
      </c>
      <c r="M4561" t="s">
        <v>4989</v>
      </c>
      <c r="O4561" t="str">
        <f>"460005199502083220"</f>
        <v>460005199502083220</v>
      </c>
    </row>
    <row r="4562" customFormat="1" spans="1:15">
      <c r="A4562">
        <v>5904</v>
      </c>
      <c r="B4562" t="s">
        <v>4990</v>
      </c>
      <c r="C4562" t="str">
        <f>"460006199212058429"</f>
        <v>460006199212058429</v>
      </c>
      <c r="D4562" t="str">
        <f>"248030200825"</f>
        <v>248030200825</v>
      </c>
      <c r="L4562">
        <v>5904</v>
      </c>
      <c r="M4562" t="s">
        <v>4990</v>
      </c>
      <c r="N4562" t="str">
        <f>"248030200825"</f>
        <v>248030200825</v>
      </c>
      <c r="O4562" t="str">
        <f>"460006199212058429"</f>
        <v>460006199212058429</v>
      </c>
    </row>
    <row r="4563" customFormat="1" spans="1:15">
      <c r="A4563">
        <v>5905</v>
      </c>
      <c r="B4563" t="s">
        <v>4991</v>
      </c>
      <c r="C4563" t="str">
        <f>"460004199604110625"</f>
        <v>460004199604110625</v>
      </c>
      <c r="D4563" t="str">
        <f>"248030502919"</f>
        <v>248030502919</v>
      </c>
      <c r="L4563">
        <v>5905</v>
      </c>
      <c r="M4563" t="s">
        <v>4991</v>
      </c>
      <c r="N4563" t="str">
        <f>"248030502919"</f>
        <v>248030502919</v>
      </c>
      <c r="O4563" t="str">
        <f>"460004199604110625"</f>
        <v>460004199604110625</v>
      </c>
    </row>
    <row r="4564" customFormat="1" spans="1:15">
      <c r="A4564">
        <v>5906</v>
      </c>
      <c r="B4564" t="s">
        <v>4992</v>
      </c>
      <c r="C4564" t="str">
        <f>"460003199710112863"</f>
        <v>460003199710112863</v>
      </c>
      <c r="D4564" t="str">
        <f>"248030501616"</f>
        <v>248030501616</v>
      </c>
      <c r="L4564">
        <v>5906</v>
      </c>
      <c r="M4564" t="s">
        <v>4992</v>
      </c>
      <c r="N4564" t="str">
        <f>"248030501616"</f>
        <v>248030501616</v>
      </c>
      <c r="O4564" t="str">
        <f>"460003199710112863"</f>
        <v>460003199710112863</v>
      </c>
    </row>
    <row r="4565" customFormat="1" spans="1:15">
      <c r="A4565">
        <v>5907</v>
      </c>
      <c r="B4565" t="s">
        <v>4993</v>
      </c>
      <c r="C4565" t="str">
        <f>"511623199505173281"</f>
        <v>511623199505173281</v>
      </c>
      <c r="D4565" t="str">
        <f>"248030201927"</f>
        <v>248030201927</v>
      </c>
      <c r="L4565">
        <v>5907</v>
      </c>
      <c r="M4565" t="s">
        <v>4993</v>
      </c>
      <c r="N4565" t="str">
        <f>"248030201927"</f>
        <v>248030201927</v>
      </c>
      <c r="O4565" t="str">
        <f>"511623199505173281"</f>
        <v>511623199505173281</v>
      </c>
    </row>
    <row r="4566" customFormat="1" spans="1:15">
      <c r="A4566">
        <v>5908</v>
      </c>
      <c r="B4566" t="s">
        <v>4994</v>
      </c>
      <c r="C4566" t="str">
        <f>"460028199004052426"</f>
        <v>460028199004052426</v>
      </c>
      <c r="D4566" t="str">
        <f>"248030401314"</f>
        <v>248030401314</v>
      </c>
      <c r="L4566">
        <v>5908</v>
      </c>
      <c r="M4566" t="s">
        <v>4994</v>
      </c>
      <c r="N4566" t="str">
        <f>"248030401314"</f>
        <v>248030401314</v>
      </c>
      <c r="O4566" t="str">
        <f>"460028199004052426"</f>
        <v>460028199004052426</v>
      </c>
    </row>
    <row r="4567" customFormat="1" spans="1:15">
      <c r="A4567">
        <v>5909</v>
      </c>
      <c r="B4567" t="s">
        <v>4995</v>
      </c>
      <c r="C4567" t="str">
        <f>"460028199409122824"</f>
        <v>460028199409122824</v>
      </c>
      <c r="D4567" t="str">
        <f>"248030501902"</f>
        <v>248030501902</v>
      </c>
      <c r="L4567">
        <v>5909</v>
      </c>
      <c r="M4567" t="s">
        <v>4995</v>
      </c>
      <c r="N4567" t="str">
        <f>"248030501902"</f>
        <v>248030501902</v>
      </c>
      <c r="O4567" t="str">
        <f>"460028199409122824"</f>
        <v>460028199409122824</v>
      </c>
    </row>
    <row r="4568" customFormat="1" spans="1:15">
      <c r="A4568">
        <v>5912</v>
      </c>
      <c r="B4568" t="s">
        <v>4996</v>
      </c>
      <c r="C4568" t="str">
        <f>"460003198901010427"</f>
        <v>460003198901010427</v>
      </c>
      <c r="D4568" t="str">
        <f>"248030502907"</f>
        <v>248030502907</v>
      </c>
      <c r="L4568">
        <v>5912</v>
      </c>
      <c r="M4568" t="s">
        <v>4996</v>
      </c>
      <c r="N4568" t="str">
        <f>"248030502907"</f>
        <v>248030502907</v>
      </c>
      <c r="O4568" t="str">
        <f>"460003198901010427"</f>
        <v>460003198901010427</v>
      </c>
    </row>
    <row r="4569" customFormat="1" spans="1:15">
      <c r="A4569">
        <v>5913</v>
      </c>
      <c r="B4569" t="s">
        <v>666</v>
      </c>
      <c r="C4569" t="str">
        <f>"340825200007273825"</f>
        <v>340825200007273825</v>
      </c>
      <c r="D4569" t="str">
        <f>"248030102922"</f>
        <v>248030102922</v>
      </c>
      <c r="L4569">
        <v>5913</v>
      </c>
      <c r="M4569" t="s">
        <v>666</v>
      </c>
      <c r="N4569" t="str">
        <f>"248030102922"</f>
        <v>248030102922</v>
      </c>
      <c r="O4569" t="str">
        <f>"340825200007273825"</f>
        <v>340825200007273825</v>
      </c>
    </row>
    <row r="4570" customFormat="1" spans="1:15">
      <c r="A4570">
        <v>5914</v>
      </c>
      <c r="B4570" t="s">
        <v>28</v>
      </c>
      <c r="C4570" t="str">
        <f>"460003199612204844"</f>
        <v>460003199612204844</v>
      </c>
      <c r="D4570" t="str">
        <f>"248030403717"</f>
        <v>248030403717</v>
      </c>
      <c r="L4570">
        <v>5914</v>
      </c>
      <c r="M4570" t="s">
        <v>28</v>
      </c>
      <c r="N4570" t="str">
        <f>"248030403717"</f>
        <v>248030403717</v>
      </c>
      <c r="O4570" t="str">
        <f>"460003199612204844"</f>
        <v>460003199612204844</v>
      </c>
    </row>
    <row r="4571" customFormat="1" spans="1:15">
      <c r="A4571">
        <v>5915</v>
      </c>
      <c r="B4571" t="s">
        <v>4997</v>
      </c>
      <c r="C4571" t="str">
        <f>"460102199609093329"</f>
        <v>460102199609093329</v>
      </c>
      <c r="D4571" t="str">
        <f>"248030500621"</f>
        <v>248030500621</v>
      </c>
      <c r="L4571">
        <v>5915</v>
      </c>
      <c r="M4571" t="s">
        <v>4997</v>
      </c>
      <c r="N4571" t="str">
        <f>"248030500621"</f>
        <v>248030500621</v>
      </c>
      <c r="O4571" t="str">
        <f>"460102199609093329"</f>
        <v>460102199609093329</v>
      </c>
    </row>
    <row r="4572" customFormat="1" spans="1:15">
      <c r="A4572">
        <v>5917</v>
      </c>
      <c r="B4572" t="s">
        <v>4998</v>
      </c>
      <c r="C4572" t="str">
        <f>"431021198403024795"</f>
        <v>431021198403024795</v>
      </c>
      <c r="D4572" t="str">
        <f>"248030401402"</f>
        <v>248030401402</v>
      </c>
      <c r="L4572">
        <v>5917</v>
      </c>
      <c r="M4572" t="s">
        <v>4998</v>
      </c>
      <c r="N4572" t="str">
        <f>"248030401402"</f>
        <v>248030401402</v>
      </c>
      <c r="O4572" t="str">
        <f>"431021198403024795"</f>
        <v>431021198403024795</v>
      </c>
    </row>
    <row r="4573" customFormat="1" spans="1:15">
      <c r="A4573">
        <v>5918</v>
      </c>
      <c r="B4573" t="s">
        <v>4999</v>
      </c>
      <c r="C4573" t="str">
        <f>"460102199704191525"</f>
        <v>460102199704191525</v>
      </c>
      <c r="L4573">
        <v>5918</v>
      </c>
      <c r="M4573" t="s">
        <v>4999</v>
      </c>
      <c r="O4573" t="str">
        <f>"460102199704191525"</f>
        <v>460102199704191525</v>
      </c>
    </row>
    <row r="4574" customFormat="1" spans="1:15">
      <c r="A4574">
        <v>5920</v>
      </c>
      <c r="B4574" t="s">
        <v>1780</v>
      </c>
      <c r="C4574" t="str">
        <f>"460006199703140021"</f>
        <v>460006199703140021</v>
      </c>
      <c r="D4574" t="str">
        <f>"248030104111"</f>
        <v>248030104111</v>
      </c>
      <c r="L4574">
        <v>5920</v>
      </c>
      <c r="M4574" t="s">
        <v>1780</v>
      </c>
      <c r="N4574" t="str">
        <f>"248030104111"</f>
        <v>248030104111</v>
      </c>
      <c r="O4574" t="str">
        <f>"460006199703140021"</f>
        <v>460006199703140021</v>
      </c>
    </row>
    <row r="4575" customFormat="1" spans="1:15">
      <c r="A4575">
        <v>5922</v>
      </c>
      <c r="B4575" t="s">
        <v>5000</v>
      </c>
      <c r="C4575" t="str">
        <f>"460031200109185229"</f>
        <v>460031200109185229</v>
      </c>
      <c r="D4575" t="str">
        <f>"248030103207"</f>
        <v>248030103207</v>
      </c>
      <c r="L4575">
        <v>5922</v>
      </c>
      <c r="M4575" t="s">
        <v>5000</v>
      </c>
      <c r="N4575" t="str">
        <f>"248030103207"</f>
        <v>248030103207</v>
      </c>
      <c r="O4575" t="str">
        <f>"460031200109185229"</f>
        <v>460031200109185229</v>
      </c>
    </row>
    <row r="4576" customFormat="1" spans="1:15">
      <c r="A4576">
        <v>5924</v>
      </c>
      <c r="B4576" t="s">
        <v>5001</v>
      </c>
      <c r="C4576" t="str">
        <f>"460003200005284649"</f>
        <v>460003200005284649</v>
      </c>
      <c r="L4576">
        <v>5924</v>
      </c>
      <c r="M4576" t="s">
        <v>5001</v>
      </c>
      <c r="O4576" t="str">
        <f>"460003200005284649"</f>
        <v>460003200005284649</v>
      </c>
    </row>
    <row r="4577" customFormat="1" spans="1:15">
      <c r="A4577">
        <v>5925</v>
      </c>
      <c r="B4577" t="s">
        <v>5002</v>
      </c>
      <c r="C4577" t="str">
        <f>"460103199804161864"</f>
        <v>460103199804161864</v>
      </c>
      <c r="L4577">
        <v>5925</v>
      </c>
      <c r="M4577" t="s">
        <v>5002</v>
      </c>
      <c r="O4577" t="str">
        <f>"460103199804161864"</f>
        <v>460103199804161864</v>
      </c>
    </row>
    <row r="4578" customFormat="1" spans="1:15">
      <c r="A4578">
        <v>5927</v>
      </c>
      <c r="B4578" t="s">
        <v>5003</v>
      </c>
      <c r="C4578" t="str">
        <f>"460028199704031220"</f>
        <v>460028199704031220</v>
      </c>
      <c r="D4578" t="str">
        <f>"248030503626"</f>
        <v>248030503626</v>
      </c>
      <c r="L4578">
        <v>5927</v>
      </c>
      <c r="M4578" t="s">
        <v>5003</v>
      </c>
      <c r="N4578" t="str">
        <f>"248030503626"</f>
        <v>248030503626</v>
      </c>
      <c r="O4578" t="str">
        <f>"460028199704031220"</f>
        <v>460028199704031220</v>
      </c>
    </row>
    <row r="4579" customFormat="1" spans="1:15">
      <c r="A4579">
        <v>5928</v>
      </c>
      <c r="B4579" t="s">
        <v>1702</v>
      </c>
      <c r="C4579" t="str">
        <f>"460007200109105807"</f>
        <v>460007200109105807</v>
      </c>
      <c r="D4579" t="str">
        <f>"248030302527"</f>
        <v>248030302527</v>
      </c>
      <c r="L4579">
        <v>5928</v>
      </c>
      <c r="M4579" t="s">
        <v>1702</v>
      </c>
      <c r="N4579" t="str">
        <f>"248030302527"</f>
        <v>248030302527</v>
      </c>
      <c r="O4579" t="str">
        <f>"460007200109105807"</f>
        <v>460007200109105807</v>
      </c>
    </row>
    <row r="4580" customFormat="1" spans="1:15">
      <c r="A4580">
        <v>5929</v>
      </c>
      <c r="B4580" t="s">
        <v>5004</v>
      </c>
      <c r="C4580" t="str">
        <f>"460006200212115628"</f>
        <v>460006200212115628</v>
      </c>
      <c r="D4580" t="str">
        <f>"248030100817"</f>
        <v>248030100817</v>
      </c>
      <c r="L4580">
        <v>5929</v>
      </c>
      <c r="M4580" t="s">
        <v>5004</v>
      </c>
      <c r="N4580" t="str">
        <f>"248030100817"</f>
        <v>248030100817</v>
      </c>
      <c r="O4580" t="str">
        <f>"460006200212115628"</f>
        <v>460006200212115628</v>
      </c>
    </row>
    <row r="4581" customFormat="1" spans="1:15">
      <c r="A4581">
        <v>5930</v>
      </c>
      <c r="B4581" t="s">
        <v>5005</v>
      </c>
      <c r="C4581" t="str">
        <f>"460027199610097046"</f>
        <v>460027199610097046</v>
      </c>
      <c r="D4581" t="str">
        <f>"248030101612"</f>
        <v>248030101612</v>
      </c>
      <c r="L4581">
        <v>5930</v>
      </c>
      <c r="M4581" t="s">
        <v>5005</v>
      </c>
      <c r="N4581" t="str">
        <f>"248030101612"</f>
        <v>248030101612</v>
      </c>
      <c r="O4581" t="str">
        <f>"460027199610097046"</f>
        <v>460027199610097046</v>
      </c>
    </row>
    <row r="4582" customFormat="1" spans="1:15">
      <c r="A4582">
        <v>5931</v>
      </c>
      <c r="B4582" t="s">
        <v>5006</v>
      </c>
      <c r="C4582" t="str">
        <f>"460003199805030027"</f>
        <v>460003199805030027</v>
      </c>
      <c r="D4582" t="str">
        <f>"248030501118"</f>
        <v>248030501118</v>
      </c>
      <c r="L4582">
        <v>5931</v>
      </c>
      <c r="M4582" t="s">
        <v>5006</v>
      </c>
      <c r="N4582" t="str">
        <f>"248030501118"</f>
        <v>248030501118</v>
      </c>
      <c r="O4582" t="str">
        <f>"460003199805030027"</f>
        <v>460003199805030027</v>
      </c>
    </row>
    <row r="4583" customFormat="1" spans="1:15">
      <c r="A4583">
        <v>5933</v>
      </c>
      <c r="B4583" t="s">
        <v>5007</v>
      </c>
      <c r="C4583" t="str">
        <f>"460102199604213010"</f>
        <v>460102199604213010</v>
      </c>
      <c r="D4583" t="str">
        <f>"248030201320"</f>
        <v>248030201320</v>
      </c>
      <c r="L4583">
        <v>5933</v>
      </c>
      <c r="M4583" t="s">
        <v>5007</v>
      </c>
      <c r="N4583" t="str">
        <f>"248030201320"</f>
        <v>248030201320</v>
      </c>
      <c r="O4583" t="str">
        <f>"460102199604213010"</f>
        <v>460102199604213010</v>
      </c>
    </row>
    <row r="4584" customFormat="1" spans="1:15">
      <c r="A4584">
        <v>5934</v>
      </c>
      <c r="B4584" t="s">
        <v>538</v>
      </c>
      <c r="C4584" t="str">
        <f>"142621199906222928"</f>
        <v>142621199906222928</v>
      </c>
      <c r="D4584" t="str">
        <f>"248030403426"</f>
        <v>248030403426</v>
      </c>
      <c r="L4584">
        <v>5934</v>
      </c>
      <c r="M4584" t="s">
        <v>538</v>
      </c>
      <c r="N4584" t="str">
        <f>"248030403426"</f>
        <v>248030403426</v>
      </c>
      <c r="O4584" t="str">
        <f>"142621199906222928"</f>
        <v>142621199906222928</v>
      </c>
    </row>
    <row r="4585" customFormat="1" spans="1:15">
      <c r="A4585">
        <v>5935</v>
      </c>
      <c r="B4585" t="s">
        <v>5008</v>
      </c>
      <c r="C4585" t="str">
        <f>"469023199604035925"</f>
        <v>469023199604035925</v>
      </c>
      <c r="D4585" t="str">
        <f>"248030402321"</f>
        <v>248030402321</v>
      </c>
      <c r="L4585">
        <v>5935</v>
      </c>
      <c r="M4585" t="s">
        <v>5008</v>
      </c>
      <c r="N4585" t="str">
        <f>"248030402321"</f>
        <v>248030402321</v>
      </c>
      <c r="O4585" t="str">
        <f>"469023199604035925"</f>
        <v>469023199604035925</v>
      </c>
    </row>
    <row r="4586" customFormat="1" spans="1:15">
      <c r="A4586">
        <v>5936</v>
      </c>
      <c r="B4586" t="s">
        <v>5009</v>
      </c>
      <c r="C4586" t="str">
        <f>"460200199507212721"</f>
        <v>460200199507212721</v>
      </c>
      <c r="D4586" t="str">
        <f>"248030203617"</f>
        <v>248030203617</v>
      </c>
      <c r="L4586">
        <v>5936</v>
      </c>
      <c r="M4586" t="s">
        <v>5009</v>
      </c>
      <c r="N4586" t="str">
        <f>"248030203617"</f>
        <v>248030203617</v>
      </c>
      <c r="O4586" t="str">
        <f>"460200199507212721"</f>
        <v>460200199507212721</v>
      </c>
    </row>
    <row r="4587" customFormat="1" spans="1:15">
      <c r="A4587">
        <v>5937</v>
      </c>
      <c r="B4587" t="s">
        <v>5010</v>
      </c>
      <c r="C4587" t="str">
        <f>"460033199702107202"</f>
        <v>460033199702107202</v>
      </c>
      <c r="D4587" t="str">
        <f>"248030403623"</f>
        <v>248030403623</v>
      </c>
      <c r="L4587">
        <v>5937</v>
      </c>
      <c r="M4587" t="s">
        <v>5010</v>
      </c>
      <c r="N4587" t="str">
        <f>"248030403623"</f>
        <v>248030403623</v>
      </c>
      <c r="O4587" t="str">
        <f>"460033199702107202"</f>
        <v>460033199702107202</v>
      </c>
    </row>
    <row r="4588" customFormat="1" spans="1:15">
      <c r="A4588">
        <v>5938</v>
      </c>
      <c r="B4588" t="s">
        <v>101</v>
      </c>
      <c r="C4588" t="str">
        <f>"360723199610270020"</f>
        <v>360723199610270020</v>
      </c>
      <c r="D4588" t="str">
        <f>"248030501903"</f>
        <v>248030501903</v>
      </c>
      <c r="L4588">
        <v>5938</v>
      </c>
      <c r="M4588" t="s">
        <v>101</v>
      </c>
      <c r="N4588" t="str">
        <f>"248030501903"</f>
        <v>248030501903</v>
      </c>
      <c r="O4588" t="str">
        <f>"360723199610270020"</f>
        <v>360723199610270020</v>
      </c>
    </row>
    <row r="4589" customFormat="1" spans="1:15">
      <c r="A4589">
        <v>5939</v>
      </c>
      <c r="B4589" t="s">
        <v>619</v>
      </c>
      <c r="C4589" t="str">
        <f>"460026199707290612"</f>
        <v>460026199707290612</v>
      </c>
      <c r="D4589" t="str">
        <f>"248030104207"</f>
        <v>248030104207</v>
      </c>
      <c r="L4589">
        <v>5939</v>
      </c>
      <c r="M4589" t="s">
        <v>619</v>
      </c>
      <c r="N4589" t="str">
        <f>"248030104207"</f>
        <v>248030104207</v>
      </c>
      <c r="O4589" t="str">
        <f>"460026199707290612"</f>
        <v>460026199707290612</v>
      </c>
    </row>
    <row r="4590" customFormat="1" spans="1:15">
      <c r="A4590">
        <v>5940</v>
      </c>
      <c r="B4590" t="s">
        <v>5011</v>
      </c>
      <c r="C4590" t="str">
        <f>"44088219941106238X"</f>
        <v>44088219941106238X</v>
      </c>
      <c r="D4590" t="str">
        <f>"248030502224"</f>
        <v>248030502224</v>
      </c>
      <c r="L4590">
        <v>5940</v>
      </c>
      <c r="M4590" t="s">
        <v>5011</v>
      </c>
      <c r="N4590" t="str">
        <f>"248030502224"</f>
        <v>248030502224</v>
      </c>
      <c r="O4590" t="str">
        <f>"44088219941106238X"</f>
        <v>44088219941106238X</v>
      </c>
    </row>
    <row r="4591" customFormat="1" spans="1:15">
      <c r="A4591">
        <v>5941</v>
      </c>
      <c r="B4591" t="s">
        <v>5012</v>
      </c>
      <c r="C4591" t="str">
        <f>"23050220010622052X"</f>
        <v>23050220010622052X</v>
      </c>
      <c r="D4591" t="str">
        <f>"248030503621"</f>
        <v>248030503621</v>
      </c>
      <c r="L4591">
        <v>5941</v>
      </c>
      <c r="M4591" t="s">
        <v>5012</v>
      </c>
      <c r="N4591" t="str">
        <f>"248030503621"</f>
        <v>248030503621</v>
      </c>
      <c r="O4591" t="str">
        <f>"23050220010622052X"</f>
        <v>23050220010622052X</v>
      </c>
    </row>
    <row r="4592" customFormat="1" spans="1:15">
      <c r="A4592">
        <v>5942</v>
      </c>
      <c r="B4592" t="s">
        <v>5013</v>
      </c>
      <c r="C4592" t="str">
        <f>"469024199106072025"</f>
        <v>469024199106072025</v>
      </c>
      <c r="L4592">
        <v>5942</v>
      </c>
      <c r="M4592" t="s">
        <v>5013</v>
      </c>
      <c r="O4592" t="str">
        <f>"469024199106072025"</f>
        <v>469024199106072025</v>
      </c>
    </row>
    <row r="4593" customFormat="1" spans="1:15">
      <c r="A4593">
        <v>5943</v>
      </c>
      <c r="B4593" t="s">
        <v>5014</v>
      </c>
      <c r="C4593" t="str">
        <f>"430626199107168047"</f>
        <v>430626199107168047</v>
      </c>
      <c r="D4593" t="str">
        <f>"248030500416"</f>
        <v>248030500416</v>
      </c>
      <c r="L4593">
        <v>5943</v>
      </c>
      <c r="M4593" t="s">
        <v>5014</v>
      </c>
      <c r="N4593" t="str">
        <f>"248030500416"</f>
        <v>248030500416</v>
      </c>
      <c r="O4593" t="str">
        <f>"430626199107168047"</f>
        <v>430626199107168047</v>
      </c>
    </row>
    <row r="4594" customFormat="1" spans="1:15">
      <c r="A4594">
        <v>5945</v>
      </c>
      <c r="B4594" t="s">
        <v>5015</v>
      </c>
      <c r="C4594" t="str">
        <f>"460035199412171129"</f>
        <v>460035199412171129</v>
      </c>
      <c r="D4594" t="str">
        <f>"248030500202"</f>
        <v>248030500202</v>
      </c>
      <c r="L4594">
        <v>5945</v>
      </c>
      <c r="M4594" t="s">
        <v>5015</v>
      </c>
      <c r="N4594" t="str">
        <f>"248030500202"</f>
        <v>248030500202</v>
      </c>
      <c r="O4594" t="str">
        <f>"460035199412171129"</f>
        <v>460035199412171129</v>
      </c>
    </row>
    <row r="4595" customFormat="1" spans="1:15">
      <c r="A4595">
        <v>5946</v>
      </c>
      <c r="B4595" t="s">
        <v>5016</v>
      </c>
      <c r="C4595" t="str">
        <f>"460033200203303220"</f>
        <v>460033200203303220</v>
      </c>
      <c r="D4595" t="str">
        <f>"248030500718"</f>
        <v>248030500718</v>
      </c>
      <c r="L4595">
        <v>5946</v>
      </c>
      <c r="M4595" t="s">
        <v>5016</v>
      </c>
      <c r="N4595" t="str">
        <f>"248030500718"</f>
        <v>248030500718</v>
      </c>
      <c r="O4595" t="str">
        <f>"460033200203303220"</f>
        <v>460033200203303220</v>
      </c>
    </row>
    <row r="4596" customFormat="1" spans="1:15">
      <c r="A4596">
        <v>5947</v>
      </c>
      <c r="B4596" t="s">
        <v>2882</v>
      </c>
      <c r="C4596" t="str">
        <f>"469024200111134425"</f>
        <v>469024200111134425</v>
      </c>
      <c r="D4596" t="str">
        <f>"248030103230"</f>
        <v>248030103230</v>
      </c>
      <c r="L4596">
        <v>5947</v>
      </c>
      <c r="M4596" t="s">
        <v>2882</v>
      </c>
      <c r="N4596" t="str">
        <f>"248030103230"</f>
        <v>248030103230</v>
      </c>
      <c r="O4596" t="str">
        <f>"469024200111134425"</f>
        <v>469024200111134425</v>
      </c>
    </row>
    <row r="4597" customFormat="1" spans="1:15">
      <c r="A4597">
        <v>5948</v>
      </c>
      <c r="B4597" t="s">
        <v>3135</v>
      </c>
      <c r="C4597" t="str">
        <f>"460102199905291223"</f>
        <v>460102199905291223</v>
      </c>
      <c r="D4597" t="str">
        <f>"248030300303"</f>
        <v>248030300303</v>
      </c>
      <c r="L4597">
        <v>5948</v>
      </c>
      <c r="M4597" t="s">
        <v>3135</v>
      </c>
      <c r="N4597" t="str">
        <f>"248030300303"</f>
        <v>248030300303</v>
      </c>
      <c r="O4597" t="str">
        <f>"460102199905291223"</f>
        <v>460102199905291223</v>
      </c>
    </row>
    <row r="4598" customFormat="1" spans="1:15">
      <c r="A4598">
        <v>5949</v>
      </c>
      <c r="B4598" t="s">
        <v>5017</v>
      </c>
      <c r="C4598" t="str">
        <f>"460003199603107620"</f>
        <v>460003199603107620</v>
      </c>
      <c r="D4598" t="str">
        <f>"248030200325"</f>
        <v>248030200325</v>
      </c>
      <c r="L4598">
        <v>5949</v>
      </c>
      <c r="M4598" t="s">
        <v>5017</v>
      </c>
      <c r="N4598" t="str">
        <f>"248030200325"</f>
        <v>248030200325</v>
      </c>
      <c r="O4598" t="str">
        <f>"460003199603107620"</f>
        <v>460003199603107620</v>
      </c>
    </row>
    <row r="4599" customFormat="1" spans="1:15">
      <c r="A4599">
        <v>5950</v>
      </c>
      <c r="B4599" t="s">
        <v>5018</v>
      </c>
      <c r="C4599" t="str">
        <f>"460005199802080726"</f>
        <v>460005199802080726</v>
      </c>
      <c r="D4599" t="str">
        <f>"248030402618"</f>
        <v>248030402618</v>
      </c>
      <c r="L4599">
        <v>5950</v>
      </c>
      <c r="M4599" t="s">
        <v>5018</v>
      </c>
      <c r="N4599" t="str">
        <f>"248030402618"</f>
        <v>248030402618</v>
      </c>
      <c r="O4599" t="str">
        <f>"460005199802080726"</f>
        <v>460005199802080726</v>
      </c>
    </row>
    <row r="4600" customFormat="1" spans="1:15">
      <c r="A4600">
        <v>5951</v>
      </c>
      <c r="B4600" t="s">
        <v>5019</v>
      </c>
      <c r="C4600" t="str">
        <f>"469028200007183038"</f>
        <v>469028200007183038</v>
      </c>
      <c r="D4600" t="str">
        <f>"248030202002"</f>
        <v>248030202002</v>
      </c>
      <c r="L4600">
        <v>5951</v>
      </c>
      <c r="M4600" t="s">
        <v>5019</v>
      </c>
      <c r="N4600" t="str">
        <f>"248030202002"</f>
        <v>248030202002</v>
      </c>
      <c r="O4600" t="str">
        <f>"469028200007183038"</f>
        <v>469028200007183038</v>
      </c>
    </row>
    <row r="4601" customFormat="1" spans="1:15">
      <c r="A4601">
        <v>5952</v>
      </c>
      <c r="B4601" t="s">
        <v>5020</v>
      </c>
      <c r="C4601" t="str">
        <f>"460102199612140624"</f>
        <v>460102199612140624</v>
      </c>
      <c r="D4601" t="str">
        <f>"248030101524"</f>
        <v>248030101524</v>
      </c>
      <c r="L4601">
        <v>5952</v>
      </c>
      <c r="M4601" t="s">
        <v>5020</v>
      </c>
      <c r="N4601" t="str">
        <f>"248030101524"</f>
        <v>248030101524</v>
      </c>
      <c r="O4601" t="str">
        <f>"460102199612140624"</f>
        <v>460102199612140624</v>
      </c>
    </row>
    <row r="4602" customFormat="1" spans="1:15">
      <c r="A4602">
        <v>5953</v>
      </c>
      <c r="B4602" t="s">
        <v>5021</v>
      </c>
      <c r="C4602" t="str">
        <f>"460103199103130328"</f>
        <v>460103199103130328</v>
      </c>
      <c r="D4602" t="str">
        <f>"248030500612"</f>
        <v>248030500612</v>
      </c>
      <c r="L4602">
        <v>5953</v>
      </c>
      <c r="M4602" t="s">
        <v>5021</v>
      </c>
      <c r="N4602" t="str">
        <f>"248030500612"</f>
        <v>248030500612</v>
      </c>
      <c r="O4602" t="str">
        <f>"460103199103130328"</f>
        <v>460103199103130328</v>
      </c>
    </row>
    <row r="4603" customFormat="1" spans="1:15">
      <c r="A4603">
        <v>5954</v>
      </c>
      <c r="B4603" t="s">
        <v>5022</v>
      </c>
      <c r="C4603" t="str">
        <f>"522426200008165623"</f>
        <v>522426200008165623</v>
      </c>
      <c r="D4603" t="str">
        <f>"248030200726"</f>
        <v>248030200726</v>
      </c>
      <c r="L4603">
        <v>5954</v>
      </c>
      <c r="M4603" t="s">
        <v>5022</v>
      </c>
      <c r="N4603" t="str">
        <f>"248030200726"</f>
        <v>248030200726</v>
      </c>
      <c r="O4603" t="str">
        <f>"522426200008165623"</f>
        <v>522426200008165623</v>
      </c>
    </row>
    <row r="4604" customFormat="1" spans="1:15">
      <c r="A4604">
        <v>5955</v>
      </c>
      <c r="B4604" t="s">
        <v>809</v>
      </c>
      <c r="C4604" t="str">
        <f>"460004199608082422"</f>
        <v>460004199608082422</v>
      </c>
      <c r="D4604" t="str">
        <f>"248030200619"</f>
        <v>248030200619</v>
      </c>
      <c r="L4604">
        <v>5955</v>
      </c>
      <c r="M4604" t="s">
        <v>809</v>
      </c>
      <c r="N4604" t="str">
        <f>"248030200619"</f>
        <v>248030200619</v>
      </c>
      <c r="O4604" t="str">
        <f>"460004199608082422"</f>
        <v>460004199608082422</v>
      </c>
    </row>
    <row r="4605" customFormat="1" spans="1:15">
      <c r="A4605">
        <v>5956</v>
      </c>
      <c r="B4605" t="s">
        <v>5023</v>
      </c>
      <c r="C4605" t="str">
        <f>"360222198601183517"</f>
        <v>360222198601183517</v>
      </c>
      <c r="L4605">
        <v>5956</v>
      </c>
      <c r="M4605" t="s">
        <v>5023</v>
      </c>
      <c r="O4605" t="str">
        <f>"360222198601183517"</f>
        <v>360222198601183517</v>
      </c>
    </row>
    <row r="4606" customFormat="1" spans="1:15">
      <c r="A4606">
        <v>5957</v>
      </c>
      <c r="B4606" t="s">
        <v>5024</v>
      </c>
      <c r="C4606" t="str">
        <f>"510525199811017929"</f>
        <v>510525199811017929</v>
      </c>
      <c r="D4606" t="str">
        <f>"248030202226"</f>
        <v>248030202226</v>
      </c>
      <c r="L4606">
        <v>5957</v>
      </c>
      <c r="M4606" t="s">
        <v>5024</v>
      </c>
      <c r="N4606" t="str">
        <f>"248030202226"</f>
        <v>248030202226</v>
      </c>
      <c r="O4606" t="str">
        <f>"510525199811017929"</f>
        <v>510525199811017929</v>
      </c>
    </row>
    <row r="4607" customFormat="1" spans="1:15">
      <c r="A4607">
        <v>5958</v>
      </c>
      <c r="B4607" t="s">
        <v>5025</v>
      </c>
      <c r="C4607" t="str">
        <f>"460036199802210820"</f>
        <v>460036199802210820</v>
      </c>
      <c r="D4607" t="str">
        <f>"248030102403"</f>
        <v>248030102403</v>
      </c>
      <c r="L4607">
        <v>5958</v>
      </c>
      <c r="M4607" t="s">
        <v>5025</v>
      </c>
      <c r="N4607" t="str">
        <f>"248030102403"</f>
        <v>248030102403</v>
      </c>
      <c r="O4607" t="str">
        <f>"460036199802210820"</f>
        <v>460036199802210820</v>
      </c>
    </row>
    <row r="4608" customFormat="1" spans="1:15">
      <c r="A4608">
        <v>5959</v>
      </c>
      <c r="B4608" t="s">
        <v>5026</v>
      </c>
      <c r="C4608" t="str">
        <f>"140622200004199837"</f>
        <v>140622200004199837</v>
      </c>
      <c r="L4608">
        <v>5959</v>
      </c>
      <c r="M4608" t="s">
        <v>5026</v>
      </c>
      <c r="O4608" t="str">
        <f>"140622200004199837"</f>
        <v>140622200004199837</v>
      </c>
    </row>
    <row r="4609" customFormat="1" spans="1:15">
      <c r="A4609">
        <v>5961</v>
      </c>
      <c r="B4609" t="s">
        <v>5027</v>
      </c>
      <c r="C4609" t="str">
        <f>"43038120010710782X"</f>
        <v>43038120010710782X</v>
      </c>
      <c r="D4609" t="str">
        <f>"248030502803"</f>
        <v>248030502803</v>
      </c>
      <c r="L4609">
        <v>5961</v>
      </c>
      <c r="M4609" t="s">
        <v>5027</v>
      </c>
      <c r="N4609" t="str">
        <f>"248030502803"</f>
        <v>248030502803</v>
      </c>
      <c r="O4609" t="str">
        <f>"43038120010710782X"</f>
        <v>43038120010710782X</v>
      </c>
    </row>
    <row r="4610" customFormat="1" spans="1:15">
      <c r="A4610">
        <v>5962</v>
      </c>
      <c r="B4610" t="s">
        <v>5028</v>
      </c>
      <c r="C4610" t="str">
        <f>"362531200101254520"</f>
        <v>362531200101254520</v>
      </c>
      <c r="D4610" t="str">
        <f>"248030302405"</f>
        <v>248030302405</v>
      </c>
      <c r="L4610">
        <v>5962</v>
      </c>
      <c r="M4610" t="s">
        <v>5028</v>
      </c>
      <c r="N4610" t="str">
        <f>"248030302405"</f>
        <v>248030302405</v>
      </c>
      <c r="O4610" t="str">
        <f>"362531200101254520"</f>
        <v>362531200101254520</v>
      </c>
    </row>
    <row r="4611" customFormat="1" spans="1:15">
      <c r="A4611">
        <v>5963</v>
      </c>
      <c r="B4611" t="s">
        <v>5029</v>
      </c>
      <c r="C4611" t="str">
        <f>"460025200107252726"</f>
        <v>460025200107252726</v>
      </c>
      <c r="D4611" t="str">
        <f>"248030401511"</f>
        <v>248030401511</v>
      </c>
      <c r="L4611">
        <v>5963</v>
      </c>
      <c r="M4611" t="s">
        <v>5029</v>
      </c>
      <c r="N4611" t="str">
        <f>"248030401511"</f>
        <v>248030401511</v>
      </c>
      <c r="O4611" t="str">
        <f>"460025200107252726"</f>
        <v>460025200107252726</v>
      </c>
    </row>
    <row r="4612" customFormat="1" spans="1:15">
      <c r="A4612">
        <v>5964</v>
      </c>
      <c r="B4612" t="s">
        <v>5030</v>
      </c>
      <c r="C4612" t="str">
        <f>"469021200004154229"</f>
        <v>469021200004154229</v>
      </c>
      <c r="D4612" t="str">
        <f>"248030401421"</f>
        <v>248030401421</v>
      </c>
      <c r="L4612">
        <v>5964</v>
      </c>
      <c r="M4612" t="s">
        <v>5030</v>
      </c>
      <c r="N4612" t="str">
        <f>"248030401421"</f>
        <v>248030401421</v>
      </c>
      <c r="O4612" t="str">
        <f>"469021200004154229"</f>
        <v>469021200004154229</v>
      </c>
    </row>
    <row r="4613" customFormat="1" spans="1:15">
      <c r="A4613">
        <v>5966</v>
      </c>
      <c r="B4613" t="s">
        <v>5031</v>
      </c>
      <c r="C4613" t="str">
        <f>"460105199812257527"</f>
        <v>460105199812257527</v>
      </c>
      <c r="D4613" t="str">
        <f>"248030504226"</f>
        <v>248030504226</v>
      </c>
      <c r="L4613">
        <v>5966</v>
      </c>
      <c r="M4613" t="s">
        <v>5031</v>
      </c>
      <c r="N4613" t="str">
        <f>"248030504226"</f>
        <v>248030504226</v>
      </c>
      <c r="O4613" t="str">
        <f>"460105199812257527"</f>
        <v>460105199812257527</v>
      </c>
    </row>
    <row r="4614" customFormat="1" spans="1:15">
      <c r="A4614">
        <v>5967</v>
      </c>
      <c r="B4614" t="s">
        <v>5032</v>
      </c>
      <c r="C4614" t="str">
        <f>"469025200101030020"</f>
        <v>469025200101030020</v>
      </c>
      <c r="D4614" t="str">
        <f>"248030403413"</f>
        <v>248030403413</v>
      </c>
      <c r="L4614">
        <v>5967</v>
      </c>
      <c r="M4614" t="s">
        <v>5032</v>
      </c>
      <c r="N4614" t="str">
        <f>"248030403413"</f>
        <v>248030403413</v>
      </c>
      <c r="O4614" t="str">
        <f>"469025200101030020"</f>
        <v>469025200101030020</v>
      </c>
    </row>
    <row r="4615" customFormat="1" spans="1:15">
      <c r="A4615">
        <v>5968</v>
      </c>
      <c r="B4615" t="s">
        <v>5033</v>
      </c>
      <c r="C4615" t="str">
        <f>"460026200106230011"</f>
        <v>460026200106230011</v>
      </c>
      <c r="D4615" t="str">
        <f>"248030202315"</f>
        <v>248030202315</v>
      </c>
      <c r="L4615">
        <v>5968</v>
      </c>
      <c r="M4615" t="s">
        <v>5033</v>
      </c>
      <c r="N4615" t="str">
        <f>"248030202315"</f>
        <v>248030202315</v>
      </c>
      <c r="O4615" t="str">
        <f>"460026200106230011"</f>
        <v>460026200106230011</v>
      </c>
    </row>
    <row r="4616" customFormat="1" spans="1:15">
      <c r="A4616">
        <v>5969</v>
      </c>
      <c r="B4616" t="s">
        <v>5034</v>
      </c>
      <c r="C4616" t="str">
        <f>"460003200009200027"</f>
        <v>460003200009200027</v>
      </c>
      <c r="D4616" t="str">
        <f>"248030504210"</f>
        <v>248030504210</v>
      </c>
      <c r="L4616">
        <v>5969</v>
      </c>
      <c r="M4616" t="s">
        <v>5034</v>
      </c>
      <c r="N4616" t="str">
        <f>"248030504210"</f>
        <v>248030504210</v>
      </c>
      <c r="O4616" t="str">
        <f>"460003200009200027"</f>
        <v>460003200009200027</v>
      </c>
    </row>
    <row r="4617" customFormat="1" spans="1:15">
      <c r="A4617">
        <v>5971</v>
      </c>
      <c r="B4617" t="s">
        <v>5035</v>
      </c>
      <c r="C4617" t="str">
        <f>"460103199307310048"</f>
        <v>460103199307310048</v>
      </c>
      <c r="D4617" t="str">
        <f>"248030501718"</f>
        <v>248030501718</v>
      </c>
      <c r="L4617">
        <v>5971</v>
      </c>
      <c r="M4617" t="s">
        <v>5035</v>
      </c>
      <c r="N4617" t="str">
        <f>"248030501718"</f>
        <v>248030501718</v>
      </c>
      <c r="O4617" t="str">
        <f>"460103199307310048"</f>
        <v>460103199307310048</v>
      </c>
    </row>
    <row r="4618" customFormat="1" spans="1:15">
      <c r="A4618">
        <v>5972</v>
      </c>
      <c r="B4618" t="s">
        <v>5036</v>
      </c>
      <c r="C4618" t="str">
        <f>"460003200010044623"</f>
        <v>460003200010044623</v>
      </c>
      <c r="L4618">
        <v>5972</v>
      </c>
      <c r="M4618" t="s">
        <v>5036</v>
      </c>
      <c r="O4618" t="str">
        <f>"460003200010044623"</f>
        <v>460003200010044623</v>
      </c>
    </row>
    <row r="4619" customFormat="1" spans="1:15">
      <c r="A4619">
        <v>5973</v>
      </c>
      <c r="B4619" t="s">
        <v>5037</v>
      </c>
      <c r="C4619" t="str">
        <f>"460003199304087623"</f>
        <v>460003199304087623</v>
      </c>
      <c r="L4619">
        <v>5973</v>
      </c>
      <c r="M4619" t="s">
        <v>5037</v>
      </c>
      <c r="O4619" t="str">
        <f>"460003199304087623"</f>
        <v>460003199304087623</v>
      </c>
    </row>
    <row r="4620" customFormat="1" spans="1:15">
      <c r="A4620">
        <v>5974</v>
      </c>
      <c r="B4620" t="s">
        <v>5038</v>
      </c>
      <c r="C4620" t="str">
        <f>"460003200201294625"</f>
        <v>460003200201294625</v>
      </c>
      <c r="D4620" t="str">
        <f>"248030202620"</f>
        <v>248030202620</v>
      </c>
      <c r="L4620">
        <v>5974</v>
      </c>
      <c r="M4620" t="s">
        <v>5038</v>
      </c>
      <c r="N4620" t="str">
        <f>"248030202620"</f>
        <v>248030202620</v>
      </c>
      <c r="O4620" t="str">
        <f>"460003200201294625"</f>
        <v>460003200201294625</v>
      </c>
    </row>
    <row r="4621" customFormat="1" spans="1:15">
      <c r="A4621">
        <v>5975</v>
      </c>
      <c r="B4621" t="s">
        <v>5039</v>
      </c>
      <c r="C4621" t="str">
        <f>"460022199206260321"</f>
        <v>460022199206260321</v>
      </c>
      <c r="L4621">
        <v>5975</v>
      </c>
      <c r="M4621" t="s">
        <v>5039</v>
      </c>
      <c r="O4621" t="str">
        <f>"460022199206260321"</f>
        <v>460022199206260321</v>
      </c>
    </row>
    <row r="4622" customFormat="1" spans="1:15">
      <c r="A4622">
        <v>5976</v>
      </c>
      <c r="B4622" t="s">
        <v>5040</v>
      </c>
      <c r="C4622" t="str">
        <f>"210221199708106920"</f>
        <v>210221199708106920</v>
      </c>
      <c r="D4622" t="str">
        <f>"248030103908"</f>
        <v>248030103908</v>
      </c>
      <c r="L4622">
        <v>5976</v>
      </c>
      <c r="M4622" t="s">
        <v>5040</v>
      </c>
      <c r="N4622" t="str">
        <f>"248030103908"</f>
        <v>248030103908</v>
      </c>
      <c r="O4622" t="str">
        <f>"210221199708106920"</f>
        <v>210221199708106920</v>
      </c>
    </row>
    <row r="4623" customFormat="1" spans="1:15">
      <c r="A4623">
        <v>5978</v>
      </c>
      <c r="B4623" t="s">
        <v>5041</v>
      </c>
      <c r="C4623" t="str">
        <f>"460007199501254983"</f>
        <v>460007199501254983</v>
      </c>
      <c r="D4623" t="str">
        <f>"248030103318"</f>
        <v>248030103318</v>
      </c>
      <c r="L4623">
        <v>5978</v>
      </c>
      <c r="M4623" t="s">
        <v>5041</v>
      </c>
      <c r="N4623" t="str">
        <f>"248030103318"</f>
        <v>248030103318</v>
      </c>
      <c r="O4623" t="str">
        <f>"460007199501254983"</f>
        <v>460007199501254983</v>
      </c>
    </row>
    <row r="4624" customFormat="1" spans="1:15">
      <c r="A4624">
        <v>5979</v>
      </c>
      <c r="B4624" t="s">
        <v>5042</v>
      </c>
      <c r="C4624" t="str">
        <f>"469024200107105621"</f>
        <v>469024200107105621</v>
      </c>
      <c r="D4624" t="str">
        <f>"248030403830"</f>
        <v>248030403830</v>
      </c>
      <c r="L4624">
        <v>5979</v>
      </c>
      <c r="M4624" t="s">
        <v>5042</v>
      </c>
      <c r="N4624" t="str">
        <f>"248030403830"</f>
        <v>248030403830</v>
      </c>
      <c r="O4624" t="str">
        <f>"469024200107105621"</f>
        <v>469024200107105621</v>
      </c>
    </row>
    <row r="4625" customFormat="1" spans="1:15">
      <c r="A4625">
        <v>5980</v>
      </c>
      <c r="B4625" t="s">
        <v>5043</v>
      </c>
      <c r="C4625" t="str">
        <f>"460004200012244027"</f>
        <v>460004200012244027</v>
      </c>
      <c r="D4625" t="str">
        <f>"248030403309"</f>
        <v>248030403309</v>
      </c>
      <c r="L4625">
        <v>5980</v>
      </c>
      <c r="M4625" t="s">
        <v>5043</v>
      </c>
      <c r="N4625" t="str">
        <f>"248030403309"</f>
        <v>248030403309</v>
      </c>
      <c r="O4625" t="str">
        <f>"460004200012244027"</f>
        <v>460004200012244027</v>
      </c>
    </row>
    <row r="4626" customFormat="1" spans="1:15">
      <c r="A4626">
        <v>5981</v>
      </c>
      <c r="B4626" t="s">
        <v>5044</v>
      </c>
      <c r="C4626" t="str">
        <f>"460003199206203029"</f>
        <v>460003199206203029</v>
      </c>
      <c r="D4626" t="str">
        <f>"248030501329"</f>
        <v>248030501329</v>
      </c>
      <c r="L4626">
        <v>5981</v>
      </c>
      <c r="M4626" t="s">
        <v>5044</v>
      </c>
      <c r="N4626" t="str">
        <f>"248030501329"</f>
        <v>248030501329</v>
      </c>
      <c r="O4626" t="str">
        <f>"460003199206203029"</f>
        <v>460003199206203029</v>
      </c>
    </row>
    <row r="4627" customFormat="1" spans="1:15">
      <c r="A4627">
        <v>5982</v>
      </c>
      <c r="B4627" t="s">
        <v>5045</v>
      </c>
      <c r="C4627" t="str">
        <f>"460028199909150039"</f>
        <v>460028199909150039</v>
      </c>
      <c r="D4627" t="str">
        <f>"248030402711"</f>
        <v>248030402711</v>
      </c>
      <c r="L4627">
        <v>5982</v>
      </c>
      <c r="M4627" t="s">
        <v>5045</v>
      </c>
      <c r="N4627" t="str">
        <f>"248030402711"</f>
        <v>248030402711</v>
      </c>
      <c r="O4627" t="str">
        <f>"460028199909150039"</f>
        <v>460028199909150039</v>
      </c>
    </row>
    <row r="4628" customFormat="1" spans="1:15">
      <c r="A4628">
        <v>5984</v>
      </c>
      <c r="B4628" t="s">
        <v>5046</v>
      </c>
      <c r="C4628" t="str">
        <f>"460005200207293028"</f>
        <v>460005200207293028</v>
      </c>
      <c r="D4628" t="str">
        <f>"248030103905"</f>
        <v>248030103905</v>
      </c>
      <c r="L4628">
        <v>5984</v>
      </c>
      <c r="M4628" t="s">
        <v>5046</v>
      </c>
      <c r="N4628" t="str">
        <f>"248030103905"</f>
        <v>248030103905</v>
      </c>
      <c r="O4628" t="str">
        <f>"460005200207293028"</f>
        <v>460005200207293028</v>
      </c>
    </row>
    <row r="4629" customFormat="1" spans="1:15">
      <c r="A4629">
        <v>5985</v>
      </c>
      <c r="B4629" t="s">
        <v>5047</v>
      </c>
      <c r="C4629" t="str">
        <f>"460006199608264632"</f>
        <v>460006199608264632</v>
      </c>
      <c r="D4629" t="str">
        <f>"248030201525"</f>
        <v>248030201525</v>
      </c>
      <c r="L4629">
        <v>5985</v>
      </c>
      <c r="M4629" t="s">
        <v>5047</v>
      </c>
      <c r="N4629" t="str">
        <f>"248030201525"</f>
        <v>248030201525</v>
      </c>
      <c r="O4629" t="str">
        <f>"460006199608264632"</f>
        <v>460006199608264632</v>
      </c>
    </row>
    <row r="4630" customFormat="1" spans="1:15">
      <c r="A4630">
        <v>5986</v>
      </c>
      <c r="B4630" t="s">
        <v>5048</v>
      </c>
      <c r="C4630" t="str">
        <f>"46020020010318140X"</f>
        <v>46020020010318140X</v>
      </c>
      <c r="D4630" t="str">
        <f>"248030103722"</f>
        <v>248030103722</v>
      </c>
      <c r="L4630">
        <v>5986</v>
      </c>
      <c r="M4630" t="s">
        <v>5048</v>
      </c>
      <c r="N4630" t="str">
        <f>"248030103722"</f>
        <v>248030103722</v>
      </c>
      <c r="O4630" t="str">
        <f>"46020020010318140X"</f>
        <v>46020020010318140X</v>
      </c>
    </row>
    <row r="4631" customFormat="1" spans="1:15">
      <c r="A4631">
        <v>5987</v>
      </c>
      <c r="B4631" t="s">
        <v>5049</v>
      </c>
      <c r="C4631" t="str">
        <f>"46902119971120092X"</f>
        <v>46902119971120092X</v>
      </c>
      <c r="D4631" t="str">
        <f>"248030301428"</f>
        <v>248030301428</v>
      </c>
      <c r="L4631">
        <v>5987</v>
      </c>
      <c r="M4631" t="s">
        <v>5049</v>
      </c>
      <c r="N4631" t="str">
        <f>"248030301428"</f>
        <v>248030301428</v>
      </c>
      <c r="O4631" t="str">
        <f>"46902119971120092X"</f>
        <v>46902119971120092X</v>
      </c>
    </row>
    <row r="4632" customFormat="1" spans="1:15">
      <c r="A4632">
        <v>5988</v>
      </c>
      <c r="B4632" t="s">
        <v>5050</v>
      </c>
      <c r="C4632" t="str">
        <f>"460005199610174525"</f>
        <v>460005199610174525</v>
      </c>
      <c r="D4632" t="str">
        <f>"248030501409"</f>
        <v>248030501409</v>
      </c>
      <c r="L4632">
        <v>5988</v>
      </c>
      <c r="M4632" t="s">
        <v>5050</v>
      </c>
      <c r="N4632" t="str">
        <f>"248030501409"</f>
        <v>248030501409</v>
      </c>
      <c r="O4632" t="str">
        <f>"460005199610174525"</f>
        <v>460005199610174525</v>
      </c>
    </row>
    <row r="4633" customFormat="1" spans="1:15">
      <c r="A4633">
        <v>5989</v>
      </c>
      <c r="B4633" t="s">
        <v>5051</v>
      </c>
      <c r="C4633" t="str">
        <f>"460104198704161228"</f>
        <v>460104198704161228</v>
      </c>
      <c r="D4633" t="str">
        <f>"248030100214"</f>
        <v>248030100214</v>
      </c>
      <c r="L4633">
        <v>5989</v>
      </c>
      <c r="M4633" t="s">
        <v>5051</v>
      </c>
      <c r="N4633" t="str">
        <f>"248030100214"</f>
        <v>248030100214</v>
      </c>
      <c r="O4633" t="str">
        <f>"460104198704161228"</f>
        <v>460104198704161228</v>
      </c>
    </row>
    <row r="4634" customFormat="1" spans="1:15">
      <c r="A4634">
        <v>5990</v>
      </c>
      <c r="B4634" t="s">
        <v>5052</v>
      </c>
      <c r="C4634" t="str">
        <f>"43038120010427012X"</f>
        <v>43038120010427012X</v>
      </c>
      <c r="D4634" t="str">
        <f>"248030302111"</f>
        <v>248030302111</v>
      </c>
      <c r="L4634">
        <v>5990</v>
      </c>
      <c r="M4634" t="s">
        <v>5052</v>
      </c>
      <c r="N4634" t="str">
        <f>"248030302111"</f>
        <v>248030302111</v>
      </c>
      <c r="O4634" t="str">
        <f>"43038120010427012X"</f>
        <v>43038120010427012X</v>
      </c>
    </row>
    <row r="4635" customFormat="1" spans="1:15">
      <c r="A4635">
        <v>5991</v>
      </c>
      <c r="B4635" t="s">
        <v>5053</v>
      </c>
      <c r="C4635" t="str">
        <f>"460004199901155619"</f>
        <v>460004199901155619</v>
      </c>
      <c r="D4635" t="str">
        <f>"248030202204"</f>
        <v>248030202204</v>
      </c>
      <c r="L4635">
        <v>5991</v>
      </c>
      <c r="M4635" t="s">
        <v>5053</v>
      </c>
      <c r="N4635" t="str">
        <f>"248030202204"</f>
        <v>248030202204</v>
      </c>
      <c r="O4635" t="str">
        <f>"460004199901155619"</f>
        <v>460004199901155619</v>
      </c>
    </row>
    <row r="4636" customFormat="1" spans="1:15">
      <c r="A4636">
        <v>5992</v>
      </c>
      <c r="B4636" t="s">
        <v>5054</v>
      </c>
      <c r="C4636" t="str">
        <f>"142702200204041227"</f>
        <v>142702200204041227</v>
      </c>
      <c r="D4636" t="str">
        <f>"248030401023"</f>
        <v>248030401023</v>
      </c>
      <c r="L4636">
        <v>5992</v>
      </c>
      <c r="M4636" t="s">
        <v>5054</v>
      </c>
      <c r="N4636" t="str">
        <f>"248030401023"</f>
        <v>248030401023</v>
      </c>
      <c r="O4636" t="str">
        <f>"142702200204041227"</f>
        <v>142702200204041227</v>
      </c>
    </row>
    <row r="4637" customFormat="1" spans="1:15">
      <c r="A4637">
        <v>5993</v>
      </c>
      <c r="B4637" t="s">
        <v>2643</v>
      </c>
      <c r="C4637" t="str">
        <f>"460027200202252348"</f>
        <v>460027200202252348</v>
      </c>
      <c r="D4637" t="str">
        <f>"248030101117"</f>
        <v>248030101117</v>
      </c>
      <c r="L4637">
        <v>5993</v>
      </c>
      <c r="M4637" t="s">
        <v>2643</v>
      </c>
      <c r="N4637" t="str">
        <f>"248030101117"</f>
        <v>248030101117</v>
      </c>
      <c r="O4637" t="str">
        <f>"460027200202252348"</f>
        <v>460027200202252348</v>
      </c>
    </row>
    <row r="4638" customFormat="1" spans="1:15">
      <c r="A4638">
        <v>5994</v>
      </c>
      <c r="B4638" t="s">
        <v>5055</v>
      </c>
      <c r="C4638" t="str">
        <f>"460002200101217124"</f>
        <v>460002200101217124</v>
      </c>
      <c r="D4638" t="str">
        <f>"248030400318"</f>
        <v>248030400318</v>
      </c>
      <c r="L4638">
        <v>5994</v>
      </c>
      <c r="M4638" t="s">
        <v>5055</v>
      </c>
      <c r="N4638" t="str">
        <f>"248030400318"</f>
        <v>248030400318</v>
      </c>
      <c r="O4638" t="str">
        <f>"460002200101217124"</f>
        <v>460002200101217124</v>
      </c>
    </row>
    <row r="4639" customFormat="1" spans="1:15">
      <c r="A4639">
        <v>5996</v>
      </c>
      <c r="B4639" t="s">
        <v>5056</v>
      </c>
      <c r="C4639" t="str">
        <f>"460007199807223362"</f>
        <v>460007199807223362</v>
      </c>
      <c r="D4639" t="str">
        <f>"248030302319"</f>
        <v>248030302319</v>
      </c>
      <c r="L4639">
        <v>5996</v>
      </c>
      <c r="M4639" t="s">
        <v>5056</v>
      </c>
      <c r="N4639" t="str">
        <f>"248030302319"</f>
        <v>248030302319</v>
      </c>
      <c r="O4639" t="str">
        <f>"460007199807223362"</f>
        <v>460007199807223362</v>
      </c>
    </row>
    <row r="4640" customFormat="1" spans="1:15">
      <c r="A4640">
        <v>5997</v>
      </c>
      <c r="B4640" t="s">
        <v>300</v>
      </c>
      <c r="C4640" t="str">
        <f>"460031199810104022"</f>
        <v>460031199810104022</v>
      </c>
      <c r="D4640" t="str">
        <f>"248030403917"</f>
        <v>248030403917</v>
      </c>
      <c r="L4640">
        <v>5997</v>
      </c>
      <c r="M4640" t="s">
        <v>300</v>
      </c>
      <c r="N4640" t="str">
        <f>"248030403917"</f>
        <v>248030403917</v>
      </c>
      <c r="O4640" t="str">
        <f>"460031199810104022"</f>
        <v>460031199810104022</v>
      </c>
    </row>
    <row r="4641" customFormat="1" spans="1:15">
      <c r="A4641">
        <v>5998</v>
      </c>
      <c r="B4641" t="s">
        <v>5057</v>
      </c>
      <c r="C4641" t="str">
        <f>"460027200009234121"</f>
        <v>460027200009234121</v>
      </c>
      <c r="D4641" t="str">
        <f>"248030400102"</f>
        <v>248030400102</v>
      </c>
      <c r="L4641">
        <v>5998</v>
      </c>
      <c r="M4641" t="s">
        <v>5057</v>
      </c>
      <c r="N4641" t="str">
        <f>"248030400102"</f>
        <v>248030400102</v>
      </c>
      <c r="O4641" t="str">
        <f>"460027200009234121"</f>
        <v>460027200009234121</v>
      </c>
    </row>
    <row r="4642" customFormat="1" spans="1:15">
      <c r="A4642">
        <v>5999</v>
      </c>
      <c r="B4642" t="s">
        <v>5058</v>
      </c>
      <c r="C4642" t="str">
        <f>"460007199005284665"</f>
        <v>460007199005284665</v>
      </c>
      <c r="D4642" t="str">
        <f>"248030403807"</f>
        <v>248030403807</v>
      </c>
      <c r="L4642">
        <v>5999</v>
      </c>
      <c r="M4642" t="s">
        <v>5058</v>
      </c>
      <c r="N4642" t="str">
        <f>"248030403807"</f>
        <v>248030403807</v>
      </c>
      <c r="O4642" t="str">
        <f>"460007199005284665"</f>
        <v>460007199005284665</v>
      </c>
    </row>
    <row r="4643" customFormat="1" spans="1:15">
      <c r="A4643">
        <v>6000</v>
      </c>
      <c r="B4643" t="s">
        <v>811</v>
      </c>
      <c r="C4643" t="str">
        <f>"460027200003042022"</f>
        <v>460027200003042022</v>
      </c>
      <c r="D4643" t="str">
        <f>"248030501511"</f>
        <v>248030501511</v>
      </c>
      <c r="L4643">
        <v>6000</v>
      </c>
      <c r="M4643" t="s">
        <v>811</v>
      </c>
      <c r="N4643" t="str">
        <f>"248030501511"</f>
        <v>248030501511</v>
      </c>
      <c r="O4643" t="str">
        <f>"460027200003042022"</f>
        <v>460027200003042022</v>
      </c>
    </row>
    <row r="4644" customFormat="1" spans="1:15">
      <c r="A4644">
        <v>6001</v>
      </c>
      <c r="B4644" t="s">
        <v>5059</v>
      </c>
      <c r="C4644" t="str">
        <f>"460025200205103329"</f>
        <v>460025200205103329</v>
      </c>
      <c r="D4644" t="str">
        <f>"248030100620"</f>
        <v>248030100620</v>
      </c>
      <c r="L4644">
        <v>6001</v>
      </c>
      <c r="M4644" t="s">
        <v>5059</v>
      </c>
      <c r="N4644" t="str">
        <f>"248030100620"</f>
        <v>248030100620</v>
      </c>
      <c r="O4644" t="str">
        <f>"460025200205103329"</f>
        <v>460025200205103329</v>
      </c>
    </row>
    <row r="4645" customFormat="1" spans="1:15">
      <c r="A4645">
        <v>6003</v>
      </c>
      <c r="B4645" t="s">
        <v>5060</v>
      </c>
      <c r="C4645" t="str">
        <f>"612524199103230226"</f>
        <v>612524199103230226</v>
      </c>
      <c r="D4645" t="str">
        <f>"248030404017"</f>
        <v>248030404017</v>
      </c>
      <c r="L4645">
        <v>6003</v>
      </c>
      <c r="M4645" t="s">
        <v>5060</v>
      </c>
      <c r="N4645" t="str">
        <f>"248030404017"</f>
        <v>248030404017</v>
      </c>
      <c r="O4645" t="str">
        <f>"612524199103230226"</f>
        <v>612524199103230226</v>
      </c>
    </row>
    <row r="4646" customFormat="1" spans="1:15">
      <c r="A4646">
        <v>6004</v>
      </c>
      <c r="B4646" t="s">
        <v>5061</v>
      </c>
      <c r="C4646" t="str">
        <f>"46003519920226292X"</f>
        <v>46003519920226292X</v>
      </c>
      <c r="D4646" t="str">
        <f>"248030401607"</f>
        <v>248030401607</v>
      </c>
      <c r="L4646">
        <v>6004</v>
      </c>
      <c r="M4646" t="s">
        <v>5061</v>
      </c>
      <c r="N4646" t="str">
        <f>"248030401607"</f>
        <v>248030401607</v>
      </c>
      <c r="O4646" t="str">
        <f>"46003519920226292X"</f>
        <v>46003519920226292X</v>
      </c>
    </row>
    <row r="4647" customFormat="1" spans="1:15">
      <c r="A4647">
        <v>6005</v>
      </c>
      <c r="B4647" t="s">
        <v>5062</v>
      </c>
      <c r="C4647" t="str">
        <f>"460027199805142628"</f>
        <v>460027199805142628</v>
      </c>
      <c r="D4647" t="str">
        <f>"248030301726"</f>
        <v>248030301726</v>
      </c>
      <c r="L4647">
        <v>6005</v>
      </c>
      <c r="M4647" t="s">
        <v>5062</v>
      </c>
      <c r="N4647" t="str">
        <f>"248030301726"</f>
        <v>248030301726</v>
      </c>
      <c r="O4647" t="str">
        <f>"460027199805142628"</f>
        <v>460027199805142628</v>
      </c>
    </row>
    <row r="4648" customFormat="1" spans="1:15">
      <c r="A4648">
        <v>6006</v>
      </c>
      <c r="B4648" t="s">
        <v>5063</v>
      </c>
      <c r="C4648" t="str">
        <f>"460005200106143928"</f>
        <v>460005200106143928</v>
      </c>
      <c r="D4648" t="str">
        <f>"248030302419"</f>
        <v>248030302419</v>
      </c>
      <c r="L4648">
        <v>6006</v>
      </c>
      <c r="M4648" t="s">
        <v>5063</v>
      </c>
      <c r="N4648" t="str">
        <f>"248030302419"</f>
        <v>248030302419</v>
      </c>
      <c r="O4648" t="str">
        <f>"460005200106143928"</f>
        <v>460005200106143928</v>
      </c>
    </row>
    <row r="4649" customFormat="1" spans="1:15">
      <c r="A4649">
        <v>6007</v>
      </c>
      <c r="B4649" t="s">
        <v>5064</v>
      </c>
      <c r="C4649" t="str">
        <f>"460030200212251515"</f>
        <v>460030200212251515</v>
      </c>
      <c r="D4649" t="str">
        <f>"248030400328"</f>
        <v>248030400328</v>
      </c>
      <c r="L4649">
        <v>6007</v>
      </c>
      <c r="M4649" t="s">
        <v>5064</v>
      </c>
      <c r="N4649" t="str">
        <f>"248030400328"</f>
        <v>248030400328</v>
      </c>
      <c r="O4649" t="str">
        <f>"460030200212251515"</f>
        <v>460030200212251515</v>
      </c>
    </row>
    <row r="4650" customFormat="1" spans="1:15">
      <c r="A4650">
        <v>6008</v>
      </c>
      <c r="B4650" t="s">
        <v>5065</v>
      </c>
      <c r="C4650" t="str">
        <f>"445221199107137825"</f>
        <v>445221199107137825</v>
      </c>
      <c r="L4650">
        <v>6008</v>
      </c>
      <c r="M4650" t="s">
        <v>5065</v>
      </c>
      <c r="O4650" t="str">
        <f>"445221199107137825"</f>
        <v>445221199107137825</v>
      </c>
    </row>
    <row r="4651" customFormat="1" spans="1:15">
      <c r="A4651">
        <v>6009</v>
      </c>
      <c r="B4651" t="s">
        <v>5066</v>
      </c>
      <c r="C4651" t="str">
        <f>"460003199702070827"</f>
        <v>460003199702070827</v>
      </c>
      <c r="D4651" t="str">
        <f>"248030102213"</f>
        <v>248030102213</v>
      </c>
      <c r="L4651">
        <v>6009</v>
      </c>
      <c r="M4651" t="s">
        <v>5066</v>
      </c>
      <c r="N4651" t="str">
        <f>"248030102213"</f>
        <v>248030102213</v>
      </c>
      <c r="O4651" t="str">
        <f>"460003199702070827"</f>
        <v>460003199702070827</v>
      </c>
    </row>
    <row r="4652" customFormat="1" spans="1:15">
      <c r="A4652">
        <v>6010</v>
      </c>
      <c r="B4652" t="s">
        <v>5067</v>
      </c>
      <c r="C4652" t="str">
        <f>"460003199804063046"</f>
        <v>460003199804063046</v>
      </c>
      <c r="L4652">
        <v>6010</v>
      </c>
      <c r="M4652" t="s">
        <v>5067</v>
      </c>
      <c r="O4652" t="str">
        <f>"460003199804063046"</f>
        <v>460003199804063046</v>
      </c>
    </row>
    <row r="4653" customFormat="1" spans="1:15">
      <c r="A4653">
        <v>6011</v>
      </c>
      <c r="B4653" t="s">
        <v>5068</v>
      </c>
      <c r="C4653" t="str">
        <f>"46900320020515226X"</f>
        <v>46900320020515226X</v>
      </c>
      <c r="D4653" t="str">
        <f>"248030103522"</f>
        <v>248030103522</v>
      </c>
      <c r="L4653">
        <v>6011</v>
      </c>
      <c r="M4653" t="s">
        <v>5068</v>
      </c>
      <c r="N4653" t="str">
        <f>"248030103522"</f>
        <v>248030103522</v>
      </c>
      <c r="O4653" t="str">
        <f>"46900320020515226X"</f>
        <v>46900320020515226X</v>
      </c>
    </row>
    <row r="4654" customFormat="1" spans="1:15">
      <c r="A4654">
        <v>6012</v>
      </c>
      <c r="B4654" t="s">
        <v>5069</v>
      </c>
      <c r="C4654" t="str">
        <f>"230107199804071829"</f>
        <v>230107199804071829</v>
      </c>
      <c r="D4654" t="str">
        <f>"248030202801"</f>
        <v>248030202801</v>
      </c>
      <c r="L4654">
        <v>6012</v>
      </c>
      <c r="M4654" t="s">
        <v>5069</v>
      </c>
      <c r="N4654" t="str">
        <f>"248030202801"</f>
        <v>248030202801</v>
      </c>
      <c r="O4654" t="str">
        <f>"230107199804071829"</f>
        <v>230107199804071829</v>
      </c>
    </row>
    <row r="4655" customFormat="1" spans="1:15">
      <c r="A4655">
        <v>6013</v>
      </c>
      <c r="B4655" t="s">
        <v>5070</v>
      </c>
      <c r="C4655" t="str">
        <f>"460006200209100249"</f>
        <v>460006200209100249</v>
      </c>
      <c r="D4655" t="str">
        <f>"248030101013"</f>
        <v>248030101013</v>
      </c>
      <c r="L4655">
        <v>6013</v>
      </c>
      <c r="M4655" t="s">
        <v>5070</v>
      </c>
      <c r="N4655" t="str">
        <f>"248030101013"</f>
        <v>248030101013</v>
      </c>
      <c r="O4655" t="str">
        <f>"460006200209100249"</f>
        <v>460006200209100249</v>
      </c>
    </row>
    <row r="4656" customFormat="1" spans="1:15">
      <c r="A4656">
        <v>6014</v>
      </c>
      <c r="B4656" t="s">
        <v>5071</v>
      </c>
      <c r="C4656" t="str">
        <f>"460103199008100024"</f>
        <v>460103199008100024</v>
      </c>
      <c r="D4656" t="str">
        <f>"248030105004"</f>
        <v>248030105004</v>
      </c>
      <c r="L4656">
        <v>6014</v>
      </c>
      <c r="M4656" t="s">
        <v>5071</v>
      </c>
      <c r="N4656" t="str">
        <f>"248030105004"</f>
        <v>248030105004</v>
      </c>
      <c r="O4656" t="str">
        <f>"460103199008100024"</f>
        <v>460103199008100024</v>
      </c>
    </row>
    <row r="4657" customFormat="1" spans="1:15">
      <c r="A4657">
        <v>6015</v>
      </c>
      <c r="B4657" t="s">
        <v>5072</v>
      </c>
      <c r="C4657" t="str">
        <f>"460027199906124429"</f>
        <v>460027199906124429</v>
      </c>
      <c r="D4657" t="str">
        <f>"248030100921"</f>
        <v>248030100921</v>
      </c>
      <c r="L4657">
        <v>6015</v>
      </c>
      <c r="M4657" t="s">
        <v>5072</v>
      </c>
      <c r="N4657" t="str">
        <f>"248030100921"</f>
        <v>248030100921</v>
      </c>
      <c r="O4657" t="str">
        <f>"460027199906124429"</f>
        <v>460027199906124429</v>
      </c>
    </row>
    <row r="4658" customFormat="1" spans="1:15">
      <c r="A4658">
        <v>6016</v>
      </c>
      <c r="B4658" t="s">
        <v>5073</v>
      </c>
      <c r="C4658" t="str">
        <f>"469027200002156579"</f>
        <v>469027200002156579</v>
      </c>
      <c r="D4658" t="str">
        <f>"248030203423"</f>
        <v>248030203423</v>
      </c>
      <c r="L4658">
        <v>6016</v>
      </c>
      <c r="M4658" t="s">
        <v>5073</v>
      </c>
      <c r="N4658" t="str">
        <f>"248030203423"</f>
        <v>248030203423</v>
      </c>
      <c r="O4658" t="str">
        <f>"469027200002156579"</f>
        <v>469027200002156579</v>
      </c>
    </row>
    <row r="4659" customFormat="1" spans="1:15">
      <c r="A4659">
        <v>6017</v>
      </c>
      <c r="B4659" t="s">
        <v>5074</v>
      </c>
      <c r="C4659" t="str">
        <f>"460006199807245936"</f>
        <v>460006199807245936</v>
      </c>
      <c r="L4659">
        <v>6017</v>
      </c>
      <c r="M4659" t="s">
        <v>5074</v>
      </c>
      <c r="O4659" t="str">
        <f>"460006199807245936"</f>
        <v>460006199807245936</v>
      </c>
    </row>
    <row r="4660" customFormat="1" spans="1:15">
      <c r="A4660">
        <v>6018</v>
      </c>
      <c r="B4660" t="s">
        <v>5075</v>
      </c>
      <c r="C4660" t="str">
        <f>"460027200201271328"</f>
        <v>460027200201271328</v>
      </c>
      <c r="D4660" t="str">
        <f>"248030302604"</f>
        <v>248030302604</v>
      </c>
      <c r="L4660">
        <v>6018</v>
      </c>
      <c r="M4660" t="s">
        <v>5075</v>
      </c>
      <c r="N4660" t="str">
        <f>"248030302604"</f>
        <v>248030302604</v>
      </c>
      <c r="O4660" t="str">
        <f>"460027200201271328"</f>
        <v>460027200201271328</v>
      </c>
    </row>
    <row r="4661" customFormat="1" spans="1:15">
      <c r="A4661">
        <v>6019</v>
      </c>
      <c r="B4661" t="s">
        <v>5076</v>
      </c>
      <c r="C4661" t="str">
        <f>"46000319971218262X"</f>
        <v>46000319971218262X</v>
      </c>
      <c r="L4661">
        <v>6019</v>
      </c>
      <c r="M4661" t="s">
        <v>5076</v>
      </c>
      <c r="O4661" t="str">
        <f>"46000319971218262X"</f>
        <v>46000319971218262X</v>
      </c>
    </row>
    <row r="4662" customFormat="1" spans="1:15">
      <c r="A4662">
        <v>6020</v>
      </c>
      <c r="B4662" t="s">
        <v>5077</v>
      </c>
      <c r="C4662" t="str">
        <f>"460026199605110924"</f>
        <v>460026199605110924</v>
      </c>
      <c r="D4662" t="str">
        <f>"248030200321"</f>
        <v>248030200321</v>
      </c>
      <c r="L4662">
        <v>6020</v>
      </c>
      <c r="M4662" t="s">
        <v>5077</v>
      </c>
      <c r="N4662" t="str">
        <f>"248030200321"</f>
        <v>248030200321</v>
      </c>
      <c r="O4662" t="str">
        <f>"460026199605110924"</f>
        <v>460026199605110924</v>
      </c>
    </row>
    <row r="4663" customFormat="1" spans="1:15">
      <c r="A4663">
        <v>6022</v>
      </c>
      <c r="B4663" t="s">
        <v>5078</v>
      </c>
      <c r="C4663" t="str">
        <f>"469022200205105120"</f>
        <v>469022200205105120</v>
      </c>
      <c r="D4663" t="str">
        <f>"248030200817"</f>
        <v>248030200817</v>
      </c>
      <c r="L4663">
        <v>6022</v>
      </c>
      <c r="M4663" t="s">
        <v>5078</v>
      </c>
      <c r="N4663" t="str">
        <f>"248030200817"</f>
        <v>248030200817</v>
      </c>
      <c r="O4663" t="str">
        <f>"469022200205105120"</f>
        <v>469022200205105120</v>
      </c>
    </row>
    <row r="4664" customFormat="1" spans="1:15">
      <c r="A4664">
        <v>6023</v>
      </c>
      <c r="B4664" t="s">
        <v>5079</v>
      </c>
      <c r="C4664" t="str">
        <f>"460027200202284411"</f>
        <v>460027200202284411</v>
      </c>
      <c r="D4664" t="str">
        <f>"248030201508"</f>
        <v>248030201508</v>
      </c>
      <c r="L4664">
        <v>6023</v>
      </c>
      <c r="M4664" t="s">
        <v>5079</v>
      </c>
      <c r="N4664" t="str">
        <f>"248030201508"</f>
        <v>248030201508</v>
      </c>
      <c r="O4664" t="str">
        <f>"460027200202284411"</f>
        <v>460027200202284411</v>
      </c>
    </row>
    <row r="4665" customFormat="1" spans="1:15">
      <c r="A4665">
        <v>6024</v>
      </c>
      <c r="B4665" t="s">
        <v>1454</v>
      </c>
      <c r="C4665" t="str">
        <f>"46000319991202022X"</f>
        <v>46000319991202022X</v>
      </c>
      <c r="D4665" t="str">
        <f>"248030102330"</f>
        <v>248030102330</v>
      </c>
      <c r="L4665">
        <v>6024</v>
      </c>
      <c r="M4665" t="s">
        <v>1454</v>
      </c>
      <c r="N4665" t="str">
        <f>"248030102330"</f>
        <v>248030102330</v>
      </c>
      <c r="O4665" t="str">
        <f>"46000319991202022X"</f>
        <v>46000319991202022X</v>
      </c>
    </row>
    <row r="4666" customFormat="1" spans="1:15">
      <c r="A4666">
        <v>6026</v>
      </c>
      <c r="B4666" t="s">
        <v>5080</v>
      </c>
      <c r="C4666" t="str">
        <f>"460028199808286041"</f>
        <v>460028199808286041</v>
      </c>
      <c r="D4666" t="str">
        <f>"248030403108"</f>
        <v>248030403108</v>
      </c>
      <c r="L4666">
        <v>6026</v>
      </c>
      <c r="M4666" t="s">
        <v>5080</v>
      </c>
      <c r="N4666" t="str">
        <f>"248030403108"</f>
        <v>248030403108</v>
      </c>
      <c r="O4666" t="str">
        <f>"460028199808286041"</f>
        <v>460028199808286041</v>
      </c>
    </row>
    <row r="4667" customFormat="1" spans="1:15">
      <c r="A4667">
        <v>6027</v>
      </c>
      <c r="B4667" t="s">
        <v>5081</v>
      </c>
      <c r="C4667" t="str">
        <f>"460002200011222229"</f>
        <v>460002200011222229</v>
      </c>
      <c r="D4667" t="str">
        <f>"248030104306"</f>
        <v>248030104306</v>
      </c>
      <c r="L4667">
        <v>6027</v>
      </c>
      <c r="M4667" t="s">
        <v>5081</v>
      </c>
      <c r="N4667" t="str">
        <f>"248030104306"</f>
        <v>248030104306</v>
      </c>
      <c r="O4667" t="str">
        <f>"460002200011222229"</f>
        <v>460002200011222229</v>
      </c>
    </row>
    <row r="4668" customFormat="1" spans="1:15">
      <c r="A4668">
        <v>6028</v>
      </c>
      <c r="B4668" t="s">
        <v>5082</v>
      </c>
      <c r="C4668" t="str">
        <f>"460004200008036022"</f>
        <v>460004200008036022</v>
      </c>
      <c r="D4668" t="str">
        <f>"248030401329"</f>
        <v>248030401329</v>
      </c>
      <c r="L4668">
        <v>6028</v>
      </c>
      <c r="M4668" t="s">
        <v>5082</v>
      </c>
      <c r="N4668" t="str">
        <f>"248030401329"</f>
        <v>248030401329</v>
      </c>
      <c r="O4668" t="str">
        <f>"460004200008036022"</f>
        <v>460004200008036022</v>
      </c>
    </row>
    <row r="4669" customFormat="1" spans="1:15">
      <c r="A4669">
        <v>6029</v>
      </c>
      <c r="B4669" t="s">
        <v>5083</v>
      </c>
      <c r="C4669" t="str">
        <f>"460006200008081627"</f>
        <v>460006200008081627</v>
      </c>
      <c r="D4669" t="str">
        <f>"248030402605"</f>
        <v>248030402605</v>
      </c>
      <c r="L4669">
        <v>6029</v>
      </c>
      <c r="M4669" t="s">
        <v>5083</v>
      </c>
      <c r="N4669" t="str">
        <f>"248030402605"</f>
        <v>248030402605</v>
      </c>
      <c r="O4669" t="str">
        <f>"460006200008081627"</f>
        <v>460006200008081627</v>
      </c>
    </row>
    <row r="4670" customFormat="1" spans="1:15">
      <c r="A4670">
        <v>6030</v>
      </c>
      <c r="B4670" t="s">
        <v>5084</v>
      </c>
      <c r="C4670" t="str">
        <f>"460200199311200526"</f>
        <v>460200199311200526</v>
      </c>
      <c r="D4670" t="str">
        <f>"248030200612"</f>
        <v>248030200612</v>
      </c>
      <c r="L4670">
        <v>6030</v>
      </c>
      <c r="M4670" t="s">
        <v>5084</v>
      </c>
      <c r="N4670" t="str">
        <f>"248030200612"</f>
        <v>248030200612</v>
      </c>
      <c r="O4670" t="str">
        <f>"460200199311200526"</f>
        <v>460200199311200526</v>
      </c>
    </row>
    <row r="4671" customFormat="1" spans="1:15">
      <c r="A4671">
        <v>6031</v>
      </c>
      <c r="B4671" t="s">
        <v>5085</v>
      </c>
      <c r="C4671" t="str">
        <f>"460033199701013247"</f>
        <v>460033199701013247</v>
      </c>
      <c r="D4671" t="str">
        <f>"248030501918"</f>
        <v>248030501918</v>
      </c>
      <c r="L4671">
        <v>6031</v>
      </c>
      <c r="M4671" t="s">
        <v>5085</v>
      </c>
      <c r="N4671" t="str">
        <f>"248030501918"</f>
        <v>248030501918</v>
      </c>
      <c r="O4671" t="str">
        <f>"460033199701013247"</f>
        <v>460033199701013247</v>
      </c>
    </row>
    <row r="4672" customFormat="1" spans="1:15">
      <c r="A4672">
        <v>6032</v>
      </c>
      <c r="B4672" t="s">
        <v>5086</v>
      </c>
      <c r="C4672" t="str">
        <f>"460028199510111628"</f>
        <v>460028199510111628</v>
      </c>
      <c r="D4672" t="str">
        <f>"248030102128"</f>
        <v>248030102128</v>
      </c>
      <c r="L4672">
        <v>6032</v>
      </c>
      <c r="M4672" t="s">
        <v>5086</v>
      </c>
      <c r="N4672" t="str">
        <f>"248030102128"</f>
        <v>248030102128</v>
      </c>
      <c r="O4672" t="str">
        <f>"460028199510111628"</f>
        <v>460028199510111628</v>
      </c>
    </row>
    <row r="4673" customFormat="1" spans="1:15">
      <c r="A4673">
        <v>6033</v>
      </c>
      <c r="B4673" t="s">
        <v>5087</v>
      </c>
      <c r="C4673" t="str">
        <f>"460002198912041222"</f>
        <v>460002198912041222</v>
      </c>
      <c r="L4673">
        <v>6033</v>
      </c>
      <c r="M4673" t="s">
        <v>5087</v>
      </c>
      <c r="O4673" t="str">
        <f>"460002198912041222"</f>
        <v>460002198912041222</v>
      </c>
    </row>
    <row r="4674" customFormat="1" spans="1:15">
      <c r="A4674">
        <v>6035</v>
      </c>
      <c r="B4674" t="s">
        <v>692</v>
      </c>
      <c r="C4674" t="str">
        <f>"460006199503101626"</f>
        <v>460006199503101626</v>
      </c>
      <c r="D4674" t="str">
        <f>"248030301027"</f>
        <v>248030301027</v>
      </c>
      <c r="L4674">
        <v>6035</v>
      </c>
      <c r="M4674" t="s">
        <v>692</v>
      </c>
      <c r="N4674" t="str">
        <f>"248030301027"</f>
        <v>248030301027</v>
      </c>
      <c r="O4674" t="str">
        <f>"460006199503101626"</f>
        <v>460006199503101626</v>
      </c>
    </row>
    <row r="4675" customFormat="1" spans="1:15">
      <c r="A4675">
        <v>6036</v>
      </c>
      <c r="B4675" t="s">
        <v>5088</v>
      </c>
      <c r="C4675" t="str">
        <f>"46902720020123447X"</f>
        <v>46902720020123447X</v>
      </c>
      <c r="L4675">
        <v>6036</v>
      </c>
      <c r="M4675" t="s">
        <v>5088</v>
      </c>
      <c r="O4675" t="str">
        <f>"46902720020123447X"</f>
        <v>46902720020123447X</v>
      </c>
    </row>
    <row r="4676" customFormat="1" spans="1:15">
      <c r="A4676">
        <v>6037</v>
      </c>
      <c r="B4676" t="s">
        <v>5089</v>
      </c>
      <c r="C4676" t="str">
        <f>"460027199508233785"</f>
        <v>460027199508233785</v>
      </c>
      <c r="D4676" t="str">
        <f>"248030104605"</f>
        <v>248030104605</v>
      </c>
      <c r="L4676">
        <v>6037</v>
      </c>
      <c r="M4676" t="s">
        <v>5089</v>
      </c>
      <c r="N4676" t="str">
        <f>"248030104605"</f>
        <v>248030104605</v>
      </c>
      <c r="O4676" t="str">
        <f>"460027199508233785"</f>
        <v>460027199508233785</v>
      </c>
    </row>
    <row r="4677" customFormat="1" spans="1:15">
      <c r="A4677">
        <v>6038</v>
      </c>
      <c r="B4677" t="s">
        <v>5090</v>
      </c>
      <c r="C4677" t="str">
        <f>"460034199909030421"</f>
        <v>460034199909030421</v>
      </c>
      <c r="D4677" t="str">
        <f>"248030103624"</f>
        <v>248030103624</v>
      </c>
      <c r="L4677">
        <v>6038</v>
      </c>
      <c r="M4677" t="s">
        <v>5090</v>
      </c>
      <c r="N4677" t="str">
        <f>"248030103624"</f>
        <v>248030103624</v>
      </c>
      <c r="O4677" t="str">
        <f>"460034199909030421"</f>
        <v>460034199909030421</v>
      </c>
    </row>
    <row r="4678" customFormat="1" spans="1:15">
      <c r="A4678">
        <v>6039</v>
      </c>
      <c r="B4678" t="s">
        <v>5091</v>
      </c>
      <c r="C4678" t="str">
        <f>"46010220011101182X"</f>
        <v>46010220011101182X</v>
      </c>
      <c r="D4678" t="str">
        <f>"248030300830"</f>
        <v>248030300830</v>
      </c>
      <c r="L4678">
        <v>6039</v>
      </c>
      <c r="M4678" t="s">
        <v>5091</v>
      </c>
      <c r="N4678" t="str">
        <f>"248030300830"</f>
        <v>248030300830</v>
      </c>
      <c r="O4678" t="str">
        <f>"46010220011101182X"</f>
        <v>46010220011101182X</v>
      </c>
    </row>
    <row r="4679" customFormat="1" spans="1:15">
      <c r="A4679">
        <v>6041</v>
      </c>
      <c r="B4679" t="s">
        <v>5092</v>
      </c>
      <c r="C4679" t="str">
        <f>"460004200008023221"</f>
        <v>460004200008023221</v>
      </c>
      <c r="D4679" t="str">
        <f>"248030104003"</f>
        <v>248030104003</v>
      </c>
      <c r="L4679">
        <v>6041</v>
      </c>
      <c r="M4679" t="s">
        <v>5092</v>
      </c>
      <c r="N4679" t="str">
        <f>"248030104003"</f>
        <v>248030104003</v>
      </c>
      <c r="O4679" t="str">
        <f>"460004200008023221"</f>
        <v>460004200008023221</v>
      </c>
    </row>
    <row r="4680" customFormat="1" spans="1:15">
      <c r="A4680">
        <v>6042</v>
      </c>
      <c r="B4680" t="s">
        <v>5093</v>
      </c>
      <c r="C4680" t="str">
        <f>"460006200004030427"</f>
        <v>460006200004030427</v>
      </c>
      <c r="L4680">
        <v>6042</v>
      </c>
      <c r="M4680" t="s">
        <v>5093</v>
      </c>
      <c r="O4680" t="str">
        <f>"460006200004030427"</f>
        <v>460006200004030427</v>
      </c>
    </row>
    <row r="4681" customFormat="1" spans="1:15">
      <c r="A4681">
        <v>6044</v>
      </c>
      <c r="B4681" t="s">
        <v>5094</v>
      </c>
      <c r="C4681" t="str">
        <f>"412823199911304820"</f>
        <v>412823199911304820</v>
      </c>
      <c r="D4681" t="str">
        <f>"248030301219"</f>
        <v>248030301219</v>
      </c>
      <c r="L4681">
        <v>6044</v>
      </c>
      <c r="M4681" t="s">
        <v>5094</v>
      </c>
      <c r="N4681" t="str">
        <f>"248030301219"</f>
        <v>248030301219</v>
      </c>
      <c r="O4681" t="str">
        <f>"412823199911304820"</f>
        <v>412823199911304820</v>
      </c>
    </row>
    <row r="4682" customFormat="1" spans="1:15">
      <c r="A4682">
        <v>6045</v>
      </c>
      <c r="B4682" t="s">
        <v>5095</v>
      </c>
      <c r="C4682" t="str">
        <f>"500225199811202325"</f>
        <v>500225199811202325</v>
      </c>
      <c r="D4682" t="str">
        <f>"248030103421"</f>
        <v>248030103421</v>
      </c>
      <c r="L4682">
        <v>6045</v>
      </c>
      <c r="M4682" t="s">
        <v>5095</v>
      </c>
      <c r="N4682" t="str">
        <f>"248030103421"</f>
        <v>248030103421</v>
      </c>
      <c r="O4682" t="str">
        <f>"500225199811202325"</f>
        <v>500225199811202325</v>
      </c>
    </row>
    <row r="4683" customFormat="1" spans="1:15">
      <c r="A4683">
        <v>6046</v>
      </c>
      <c r="B4683" t="s">
        <v>5096</v>
      </c>
      <c r="C4683" t="str">
        <f>"230225199503250047"</f>
        <v>230225199503250047</v>
      </c>
      <c r="D4683" t="str">
        <f>"248030401201"</f>
        <v>248030401201</v>
      </c>
      <c r="L4683">
        <v>6046</v>
      </c>
      <c r="M4683" t="s">
        <v>5096</v>
      </c>
      <c r="N4683" t="str">
        <f>"248030401201"</f>
        <v>248030401201</v>
      </c>
      <c r="O4683" t="str">
        <f>"230225199503250047"</f>
        <v>230225199503250047</v>
      </c>
    </row>
    <row r="4684" customFormat="1" spans="1:15">
      <c r="A4684">
        <v>6047</v>
      </c>
      <c r="B4684" t="s">
        <v>377</v>
      </c>
      <c r="C4684" t="str">
        <f>"460026199210082121"</f>
        <v>460026199210082121</v>
      </c>
      <c r="D4684" t="str">
        <f>"248030402517"</f>
        <v>248030402517</v>
      </c>
      <c r="L4684">
        <v>6047</v>
      </c>
      <c r="M4684" t="s">
        <v>377</v>
      </c>
      <c r="N4684" t="str">
        <f>"248030402517"</f>
        <v>248030402517</v>
      </c>
      <c r="O4684" t="str">
        <f>"460026199210082121"</f>
        <v>460026199210082121</v>
      </c>
    </row>
    <row r="4685" customFormat="1" spans="1:15">
      <c r="A4685">
        <v>6048</v>
      </c>
      <c r="B4685" t="s">
        <v>5097</v>
      </c>
      <c r="C4685" t="str">
        <f>"460103200008181528"</f>
        <v>460103200008181528</v>
      </c>
      <c r="L4685">
        <v>6048</v>
      </c>
      <c r="M4685" t="s">
        <v>5097</v>
      </c>
      <c r="O4685" t="str">
        <f>"460103200008181528"</f>
        <v>460103200008181528</v>
      </c>
    </row>
    <row r="4686" customFormat="1" spans="1:15">
      <c r="A4686">
        <v>6049</v>
      </c>
      <c r="B4686" t="s">
        <v>5098</v>
      </c>
      <c r="C4686" t="str">
        <f>"46000320000522462X"</f>
        <v>46000320000522462X</v>
      </c>
      <c r="D4686" t="str">
        <f>"248030202609"</f>
        <v>248030202609</v>
      </c>
      <c r="L4686">
        <v>6049</v>
      </c>
      <c r="M4686" t="s">
        <v>5098</v>
      </c>
      <c r="N4686" t="str">
        <f>"248030202609"</f>
        <v>248030202609</v>
      </c>
      <c r="O4686" t="str">
        <f>"46000320000522462X"</f>
        <v>46000320000522462X</v>
      </c>
    </row>
    <row r="4687" customFormat="1" spans="1:15">
      <c r="A4687">
        <v>6050</v>
      </c>
      <c r="B4687" t="s">
        <v>5099</v>
      </c>
      <c r="C4687" t="str">
        <f>"46002719931018296X"</f>
        <v>46002719931018296X</v>
      </c>
      <c r="D4687" t="str">
        <f>"248030101510"</f>
        <v>248030101510</v>
      </c>
      <c r="L4687">
        <v>6050</v>
      </c>
      <c r="M4687" t="s">
        <v>5099</v>
      </c>
      <c r="N4687" t="str">
        <f>"248030101510"</f>
        <v>248030101510</v>
      </c>
      <c r="O4687" t="str">
        <f>"46002719931018296X"</f>
        <v>46002719931018296X</v>
      </c>
    </row>
    <row r="4688" customFormat="1" spans="1:15">
      <c r="A4688">
        <v>6051</v>
      </c>
      <c r="B4688" t="s">
        <v>5100</v>
      </c>
      <c r="C4688" t="str">
        <f>"46902420020327082X"</f>
        <v>46902420020327082X</v>
      </c>
      <c r="D4688" t="str">
        <f>"248030301803"</f>
        <v>248030301803</v>
      </c>
      <c r="L4688">
        <v>6051</v>
      </c>
      <c r="M4688" t="s">
        <v>5100</v>
      </c>
      <c r="N4688" t="str">
        <f>"248030301803"</f>
        <v>248030301803</v>
      </c>
      <c r="O4688" t="str">
        <f>"46902420020327082X"</f>
        <v>46902420020327082X</v>
      </c>
    </row>
    <row r="4689" customFormat="1" spans="1:15">
      <c r="A4689">
        <v>6052</v>
      </c>
      <c r="B4689" t="s">
        <v>5101</v>
      </c>
      <c r="C4689" t="str">
        <f>"612527200211214420"</f>
        <v>612527200211214420</v>
      </c>
      <c r="D4689" t="str">
        <f>"248030101730"</f>
        <v>248030101730</v>
      </c>
      <c r="L4689">
        <v>6052</v>
      </c>
      <c r="M4689" t="s">
        <v>5101</v>
      </c>
      <c r="N4689" t="str">
        <f>"248030101730"</f>
        <v>248030101730</v>
      </c>
      <c r="O4689" t="str">
        <f>"612527200211214420"</f>
        <v>612527200211214420</v>
      </c>
    </row>
    <row r="4690" customFormat="1" spans="1:15">
      <c r="A4690">
        <v>6053</v>
      </c>
      <c r="B4690" t="s">
        <v>5102</v>
      </c>
      <c r="C4690" t="str">
        <f>"460002200205155423"</f>
        <v>460002200205155423</v>
      </c>
      <c r="D4690" t="str">
        <f>"248030300827"</f>
        <v>248030300827</v>
      </c>
      <c r="L4690">
        <v>6053</v>
      </c>
      <c r="M4690" t="s">
        <v>5102</v>
      </c>
      <c r="N4690" t="str">
        <f>"248030300827"</f>
        <v>248030300827</v>
      </c>
      <c r="O4690" t="str">
        <f>"460002200205155423"</f>
        <v>460002200205155423</v>
      </c>
    </row>
    <row r="4691" customFormat="1" spans="1:15">
      <c r="A4691">
        <v>6054</v>
      </c>
      <c r="B4691" t="s">
        <v>735</v>
      </c>
      <c r="C4691" t="str">
        <f>"460003200104100411"</f>
        <v>460003200104100411</v>
      </c>
      <c r="D4691" t="str">
        <f>"248030403618"</f>
        <v>248030403618</v>
      </c>
      <c r="L4691">
        <v>6054</v>
      </c>
      <c r="M4691" t="s">
        <v>735</v>
      </c>
      <c r="N4691" t="str">
        <f>"248030403618"</f>
        <v>248030403618</v>
      </c>
      <c r="O4691" t="str">
        <f>"460003200104100411"</f>
        <v>460003200104100411</v>
      </c>
    </row>
    <row r="4692" customFormat="1" spans="1:15">
      <c r="A4692">
        <v>6055</v>
      </c>
      <c r="B4692" t="s">
        <v>5103</v>
      </c>
      <c r="C4692" t="str">
        <f>"460106200007055027"</f>
        <v>460106200007055027</v>
      </c>
      <c r="D4692" t="str">
        <f>"248030402012"</f>
        <v>248030402012</v>
      </c>
      <c r="L4692">
        <v>6055</v>
      </c>
      <c r="M4692" t="s">
        <v>5103</v>
      </c>
      <c r="N4692" t="str">
        <f>"248030402012"</f>
        <v>248030402012</v>
      </c>
      <c r="O4692" t="str">
        <f>"460106200007055027"</f>
        <v>460106200007055027</v>
      </c>
    </row>
    <row r="4693" customFormat="1" spans="1:15">
      <c r="A4693">
        <v>6056</v>
      </c>
      <c r="B4693" t="s">
        <v>5104</v>
      </c>
      <c r="C4693" t="str">
        <f>"460003199901286022"</f>
        <v>460003199901286022</v>
      </c>
      <c r="D4693" t="str">
        <f>"248030102116"</f>
        <v>248030102116</v>
      </c>
      <c r="L4693">
        <v>6056</v>
      </c>
      <c r="M4693" t="s">
        <v>5104</v>
      </c>
      <c r="N4693" t="str">
        <f>"248030102116"</f>
        <v>248030102116</v>
      </c>
      <c r="O4693" t="str">
        <f>"460003199901286022"</f>
        <v>460003199901286022</v>
      </c>
    </row>
    <row r="4694" customFormat="1" spans="1:15">
      <c r="A4694">
        <v>6057</v>
      </c>
      <c r="B4694" t="s">
        <v>3778</v>
      </c>
      <c r="C4694" t="str">
        <f>"460006198911088120"</f>
        <v>460006198911088120</v>
      </c>
      <c r="L4694">
        <v>6057</v>
      </c>
      <c r="M4694" t="s">
        <v>3778</v>
      </c>
      <c r="O4694" t="str">
        <f>"460006198911088120"</f>
        <v>460006198911088120</v>
      </c>
    </row>
    <row r="4695" customFormat="1" spans="1:15">
      <c r="A4695">
        <v>6059</v>
      </c>
      <c r="B4695" t="s">
        <v>5105</v>
      </c>
      <c r="C4695" t="str">
        <f>"230203199912130849"</f>
        <v>230203199912130849</v>
      </c>
      <c r="D4695" t="str">
        <f>"248030503326"</f>
        <v>248030503326</v>
      </c>
      <c r="L4695">
        <v>6059</v>
      </c>
      <c r="M4695" t="s">
        <v>5105</v>
      </c>
      <c r="N4695" t="str">
        <f>"248030503326"</f>
        <v>248030503326</v>
      </c>
      <c r="O4695" t="str">
        <f>"230203199912130849"</f>
        <v>230203199912130849</v>
      </c>
    </row>
    <row r="4696" customFormat="1" spans="1:15">
      <c r="A4696">
        <v>6060</v>
      </c>
      <c r="B4696" t="s">
        <v>5106</v>
      </c>
      <c r="C4696" t="str">
        <f>"445281198907054069"</f>
        <v>445281198907054069</v>
      </c>
      <c r="D4696" t="str">
        <f>"248030402918"</f>
        <v>248030402918</v>
      </c>
      <c r="L4696">
        <v>6060</v>
      </c>
      <c r="M4696" t="s">
        <v>5106</v>
      </c>
      <c r="N4696" t="str">
        <f>"248030402918"</f>
        <v>248030402918</v>
      </c>
      <c r="O4696" t="str">
        <f>"445281198907054069"</f>
        <v>445281198907054069</v>
      </c>
    </row>
    <row r="4697" customFormat="1" spans="1:15">
      <c r="A4697">
        <v>6061</v>
      </c>
      <c r="B4697" t="s">
        <v>5107</v>
      </c>
      <c r="C4697" t="str">
        <f>"370681200109066822"</f>
        <v>370681200109066822</v>
      </c>
      <c r="D4697" t="str">
        <f>"248030500320"</f>
        <v>248030500320</v>
      </c>
      <c r="L4697">
        <v>6061</v>
      </c>
      <c r="M4697" t="s">
        <v>5107</v>
      </c>
      <c r="N4697" t="str">
        <f>"248030500320"</f>
        <v>248030500320</v>
      </c>
      <c r="O4697" t="str">
        <f>"370681200109066822"</f>
        <v>370681200109066822</v>
      </c>
    </row>
    <row r="4698" customFormat="1" spans="1:15">
      <c r="A4698">
        <v>6062</v>
      </c>
      <c r="B4698" t="s">
        <v>5108</v>
      </c>
      <c r="C4698" t="str">
        <f>"460107199804262628"</f>
        <v>460107199804262628</v>
      </c>
      <c r="D4698" t="str">
        <f>"248030401827"</f>
        <v>248030401827</v>
      </c>
      <c r="L4698">
        <v>6062</v>
      </c>
      <c r="M4698" t="s">
        <v>5108</v>
      </c>
      <c r="N4698" t="str">
        <f>"248030401827"</f>
        <v>248030401827</v>
      </c>
      <c r="O4698" t="str">
        <f>"460107199804262628"</f>
        <v>460107199804262628</v>
      </c>
    </row>
    <row r="4699" customFormat="1" spans="1:15">
      <c r="A4699">
        <v>6063</v>
      </c>
      <c r="B4699" t="s">
        <v>5109</v>
      </c>
      <c r="C4699" t="str">
        <f>"469027200105190024"</f>
        <v>469027200105190024</v>
      </c>
      <c r="D4699" t="str">
        <f>"248030203608"</f>
        <v>248030203608</v>
      </c>
      <c r="L4699">
        <v>6063</v>
      </c>
      <c r="M4699" t="s">
        <v>5109</v>
      </c>
      <c r="N4699" t="str">
        <f>"248030203608"</f>
        <v>248030203608</v>
      </c>
      <c r="O4699" t="str">
        <f>"469027200105190024"</f>
        <v>469027200105190024</v>
      </c>
    </row>
    <row r="4700" customFormat="1" spans="1:15">
      <c r="A4700">
        <v>6064</v>
      </c>
      <c r="B4700" t="s">
        <v>5110</v>
      </c>
      <c r="C4700" t="str">
        <f>"460006199502271623"</f>
        <v>460006199502271623</v>
      </c>
      <c r="L4700">
        <v>6064</v>
      </c>
      <c r="M4700" t="s">
        <v>5110</v>
      </c>
      <c r="O4700" t="str">
        <f>"460006199502271623"</f>
        <v>460006199502271623</v>
      </c>
    </row>
    <row r="4701" customFormat="1" spans="1:15">
      <c r="A4701">
        <v>6065</v>
      </c>
      <c r="B4701" t="s">
        <v>249</v>
      </c>
      <c r="C4701" t="str">
        <f>"510122199307139563"</f>
        <v>510122199307139563</v>
      </c>
      <c r="D4701" t="str">
        <f>"248030502325"</f>
        <v>248030502325</v>
      </c>
      <c r="L4701">
        <v>6065</v>
      </c>
      <c r="M4701" t="s">
        <v>249</v>
      </c>
      <c r="N4701" t="str">
        <f>"248030502325"</f>
        <v>248030502325</v>
      </c>
      <c r="O4701" t="str">
        <f>"510122199307139563"</f>
        <v>510122199307139563</v>
      </c>
    </row>
    <row r="4702" customFormat="1" spans="1:15">
      <c r="A4702">
        <v>6066</v>
      </c>
      <c r="B4702" t="s">
        <v>5111</v>
      </c>
      <c r="C4702" t="str">
        <f>"460028199911160420"</f>
        <v>460028199911160420</v>
      </c>
      <c r="D4702" t="str">
        <f>"248030301220"</f>
        <v>248030301220</v>
      </c>
      <c r="L4702">
        <v>6066</v>
      </c>
      <c r="M4702" t="s">
        <v>5111</v>
      </c>
      <c r="N4702" t="str">
        <f>"248030301220"</f>
        <v>248030301220</v>
      </c>
      <c r="O4702" t="str">
        <f>"460028199911160420"</f>
        <v>460028199911160420</v>
      </c>
    </row>
    <row r="4703" customFormat="1" spans="1:15">
      <c r="A4703">
        <v>6071</v>
      </c>
      <c r="B4703" t="s">
        <v>5112</v>
      </c>
      <c r="C4703" t="str">
        <f>"469023200108170648"</f>
        <v>469023200108170648</v>
      </c>
      <c r="D4703" t="str">
        <f>"248030400429"</f>
        <v>248030400429</v>
      </c>
      <c r="L4703">
        <v>6071</v>
      </c>
      <c r="M4703" t="s">
        <v>5112</v>
      </c>
      <c r="N4703" t="str">
        <f>"248030400429"</f>
        <v>248030400429</v>
      </c>
      <c r="O4703" t="str">
        <f>"469023200108170648"</f>
        <v>469023200108170648</v>
      </c>
    </row>
    <row r="4704" customFormat="1" spans="1:15">
      <c r="A4704">
        <v>6072</v>
      </c>
      <c r="B4704" t="s">
        <v>5113</v>
      </c>
      <c r="C4704" t="str">
        <f>"460102199910303321"</f>
        <v>460102199910303321</v>
      </c>
      <c r="D4704" t="str">
        <f>"248030500907"</f>
        <v>248030500907</v>
      </c>
      <c r="L4704">
        <v>6072</v>
      </c>
      <c r="M4704" t="s">
        <v>5113</v>
      </c>
      <c r="N4704" t="str">
        <f>"248030500907"</f>
        <v>248030500907</v>
      </c>
      <c r="O4704" t="str">
        <f>"460102199910303321"</f>
        <v>460102199910303321</v>
      </c>
    </row>
    <row r="4705" customFormat="1" spans="1:15">
      <c r="A4705">
        <v>6073</v>
      </c>
      <c r="B4705" t="s">
        <v>5114</v>
      </c>
      <c r="C4705" t="str">
        <f>"460003198805214649"</f>
        <v>460003198805214649</v>
      </c>
      <c r="D4705" t="str">
        <f>"248030401812"</f>
        <v>248030401812</v>
      </c>
      <c r="L4705">
        <v>6073</v>
      </c>
      <c r="M4705" t="s">
        <v>5114</v>
      </c>
      <c r="N4705" t="str">
        <f>"248030401812"</f>
        <v>248030401812</v>
      </c>
      <c r="O4705" t="str">
        <f>"460003198805214649"</f>
        <v>460003198805214649</v>
      </c>
    </row>
    <row r="4706" customFormat="1" spans="1:15">
      <c r="A4706">
        <v>6074</v>
      </c>
      <c r="B4706" t="s">
        <v>5115</v>
      </c>
      <c r="C4706" t="str">
        <f>"460001199801161721"</f>
        <v>460001199801161721</v>
      </c>
      <c r="D4706" t="str">
        <f>"248030301305"</f>
        <v>248030301305</v>
      </c>
      <c r="L4706">
        <v>6074</v>
      </c>
      <c r="M4706" t="s">
        <v>5115</v>
      </c>
      <c r="N4706" t="str">
        <f>"248030301305"</f>
        <v>248030301305</v>
      </c>
      <c r="O4706" t="str">
        <f>"460001199801161721"</f>
        <v>460001199801161721</v>
      </c>
    </row>
    <row r="4707" customFormat="1" spans="1:15">
      <c r="A4707">
        <v>6075</v>
      </c>
      <c r="B4707" t="s">
        <v>5116</v>
      </c>
      <c r="C4707" t="str">
        <f>"411302199906151321"</f>
        <v>411302199906151321</v>
      </c>
      <c r="L4707">
        <v>6075</v>
      </c>
      <c r="M4707" t="s">
        <v>5116</v>
      </c>
      <c r="O4707" t="str">
        <f>"411302199906151321"</f>
        <v>411302199906151321</v>
      </c>
    </row>
    <row r="4708" customFormat="1" spans="1:15">
      <c r="A4708">
        <v>6078</v>
      </c>
      <c r="B4708" t="s">
        <v>5117</v>
      </c>
      <c r="C4708" t="str">
        <f>"230822199203291123"</f>
        <v>230822199203291123</v>
      </c>
      <c r="L4708">
        <v>6078</v>
      </c>
      <c r="M4708" t="s">
        <v>5117</v>
      </c>
      <c r="O4708" t="str">
        <f>"230822199203291123"</f>
        <v>230822199203291123</v>
      </c>
    </row>
    <row r="4709" customFormat="1" spans="1:15">
      <c r="A4709">
        <v>6080</v>
      </c>
      <c r="B4709" t="s">
        <v>5118</v>
      </c>
      <c r="C4709" t="str">
        <f>"460007199201174121"</f>
        <v>460007199201174121</v>
      </c>
      <c r="L4709">
        <v>6080</v>
      </c>
      <c r="M4709" t="s">
        <v>5118</v>
      </c>
      <c r="O4709" t="str">
        <f>"460007199201174121"</f>
        <v>460007199201174121</v>
      </c>
    </row>
    <row r="4710" customFormat="1" spans="1:15">
      <c r="A4710">
        <v>6082</v>
      </c>
      <c r="B4710" t="s">
        <v>5119</v>
      </c>
      <c r="C4710" t="str">
        <f>"460007199108047224"</f>
        <v>460007199108047224</v>
      </c>
      <c r="D4710" t="str">
        <f>"248030203701"</f>
        <v>248030203701</v>
      </c>
      <c r="L4710">
        <v>6082</v>
      </c>
      <c r="M4710" t="s">
        <v>5119</v>
      </c>
      <c r="N4710" t="str">
        <f>"248030203701"</f>
        <v>248030203701</v>
      </c>
      <c r="O4710" t="str">
        <f>"460007199108047224"</f>
        <v>460007199108047224</v>
      </c>
    </row>
    <row r="4711" customFormat="1" spans="1:15">
      <c r="A4711">
        <v>6085</v>
      </c>
      <c r="B4711" t="s">
        <v>5120</v>
      </c>
      <c r="C4711" t="str">
        <f>"460004198912255020"</f>
        <v>460004198912255020</v>
      </c>
      <c r="L4711">
        <v>6085</v>
      </c>
      <c r="M4711" t="s">
        <v>5120</v>
      </c>
      <c r="O4711" t="str">
        <f>"460004198912255020"</f>
        <v>460004198912255020</v>
      </c>
    </row>
    <row r="4712" customFormat="1" spans="1:15">
      <c r="A4712">
        <v>6086</v>
      </c>
      <c r="B4712" t="s">
        <v>5121</v>
      </c>
      <c r="C4712" t="str">
        <f>"460004200205040223"</f>
        <v>460004200205040223</v>
      </c>
      <c r="L4712">
        <v>6086</v>
      </c>
      <c r="M4712" t="s">
        <v>5121</v>
      </c>
      <c r="O4712" t="str">
        <f>"460004200205040223"</f>
        <v>460004200205040223</v>
      </c>
    </row>
    <row r="4713" customFormat="1" spans="1:15">
      <c r="A4713">
        <v>6087</v>
      </c>
      <c r="B4713" t="s">
        <v>5122</v>
      </c>
      <c r="C4713" t="str">
        <f>"460007199003147245"</f>
        <v>460007199003147245</v>
      </c>
      <c r="D4713" t="str">
        <f>"248030200217"</f>
        <v>248030200217</v>
      </c>
      <c r="L4713">
        <v>6087</v>
      </c>
      <c r="M4713" t="s">
        <v>5122</v>
      </c>
      <c r="N4713" t="str">
        <f>"248030200217"</f>
        <v>248030200217</v>
      </c>
      <c r="O4713" t="str">
        <f>"460007199003147245"</f>
        <v>460007199003147245</v>
      </c>
    </row>
    <row r="4714" customFormat="1" spans="1:15">
      <c r="A4714">
        <v>6089</v>
      </c>
      <c r="B4714" t="s">
        <v>5123</v>
      </c>
      <c r="C4714" t="str">
        <f>"460002199402126220"</f>
        <v>460002199402126220</v>
      </c>
      <c r="D4714" t="str">
        <f>"248030102602"</f>
        <v>248030102602</v>
      </c>
      <c r="L4714">
        <v>6089</v>
      </c>
      <c r="M4714" t="s">
        <v>5123</v>
      </c>
      <c r="N4714" t="str">
        <f>"248030102602"</f>
        <v>248030102602</v>
      </c>
      <c r="O4714" t="str">
        <f>"460002199402126220"</f>
        <v>460002199402126220</v>
      </c>
    </row>
    <row r="4715" customFormat="1" spans="1:15">
      <c r="A4715">
        <v>6090</v>
      </c>
      <c r="B4715" t="s">
        <v>5124</v>
      </c>
      <c r="C4715" t="str">
        <f>"469003199911046426"</f>
        <v>469003199911046426</v>
      </c>
      <c r="D4715" t="str">
        <f>"248030401327"</f>
        <v>248030401327</v>
      </c>
      <c r="L4715">
        <v>6090</v>
      </c>
      <c r="M4715" t="s">
        <v>5124</v>
      </c>
      <c r="N4715" t="str">
        <f>"248030401327"</f>
        <v>248030401327</v>
      </c>
      <c r="O4715" t="str">
        <f>"469003199911046426"</f>
        <v>469003199911046426</v>
      </c>
    </row>
    <row r="4716" customFormat="1" spans="1:15">
      <c r="A4716">
        <v>6091</v>
      </c>
      <c r="B4716" t="s">
        <v>5125</v>
      </c>
      <c r="C4716" t="str">
        <f>"460027199909187927"</f>
        <v>460027199909187927</v>
      </c>
      <c r="D4716" t="str">
        <f>"248030300810"</f>
        <v>248030300810</v>
      </c>
      <c r="L4716">
        <v>6091</v>
      </c>
      <c r="M4716" t="s">
        <v>5125</v>
      </c>
      <c r="N4716" t="str">
        <f>"248030300810"</f>
        <v>248030300810</v>
      </c>
      <c r="O4716" t="str">
        <f>"460027199909187927"</f>
        <v>460027199909187927</v>
      </c>
    </row>
    <row r="4717" customFormat="1" spans="1:15">
      <c r="A4717">
        <v>6092</v>
      </c>
      <c r="B4717" t="s">
        <v>5126</v>
      </c>
      <c r="C4717" t="str">
        <f>"46003319861211392X"</f>
        <v>46003319861211392X</v>
      </c>
      <c r="D4717" t="str">
        <f>"248030502109"</f>
        <v>248030502109</v>
      </c>
      <c r="L4717">
        <v>6092</v>
      </c>
      <c r="M4717" t="s">
        <v>5126</v>
      </c>
      <c r="N4717" t="str">
        <f>"248030502109"</f>
        <v>248030502109</v>
      </c>
      <c r="O4717" t="str">
        <f>"46003319861211392X"</f>
        <v>46003319861211392X</v>
      </c>
    </row>
    <row r="4718" customFormat="1" spans="1:15">
      <c r="A4718">
        <v>6093</v>
      </c>
      <c r="B4718" t="s">
        <v>2543</v>
      </c>
      <c r="C4718" t="str">
        <f>"460033199607084882"</f>
        <v>460033199607084882</v>
      </c>
      <c r="D4718" t="str">
        <f>"248030104218"</f>
        <v>248030104218</v>
      </c>
      <c r="L4718">
        <v>6093</v>
      </c>
      <c r="M4718" t="s">
        <v>2543</v>
      </c>
      <c r="N4718" t="str">
        <f>"248030104218"</f>
        <v>248030104218</v>
      </c>
      <c r="O4718" t="str">
        <f>"460033199607084882"</f>
        <v>460033199607084882</v>
      </c>
    </row>
    <row r="4719" customFormat="1" spans="1:15">
      <c r="A4719">
        <v>6094</v>
      </c>
      <c r="B4719" t="s">
        <v>5127</v>
      </c>
      <c r="C4719" t="str">
        <f>"460033200112273214"</f>
        <v>460033200112273214</v>
      </c>
      <c r="D4719" t="str">
        <f>"248030201628"</f>
        <v>248030201628</v>
      </c>
      <c r="L4719">
        <v>6094</v>
      </c>
      <c r="M4719" t="s">
        <v>5127</v>
      </c>
      <c r="N4719" t="str">
        <f>"248030201628"</f>
        <v>248030201628</v>
      </c>
      <c r="O4719" t="str">
        <f>"460033200112273214"</f>
        <v>460033200112273214</v>
      </c>
    </row>
    <row r="4720" customFormat="1" spans="1:15">
      <c r="A4720">
        <v>6095</v>
      </c>
      <c r="B4720" t="s">
        <v>5128</v>
      </c>
      <c r="C4720" t="str">
        <f>"460031199806260823"</f>
        <v>460031199806260823</v>
      </c>
      <c r="D4720" t="str">
        <f>"248030203813"</f>
        <v>248030203813</v>
      </c>
      <c r="L4720">
        <v>6095</v>
      </c>
      <c r="M4720" t="s">
        <v>5128</v>
      </c>
      <c r="N4720" t="str">
        <f>"248030203813"</f>
        <v>248030203813</v>
      </c>
      <c r="O4720" t="str">
        <f>"460031199806260823"</f>
        <v>460031199806260823</v>
      </c>
    </row>
    <row r="4721" customFormat="1" spans="1:15">
      <c r="A4721">
        <v>6096</v>
      </c>
      <c r="B4721" t="s">
        <v>5129</v>
      </c>
      <c r="C4721" t="str">
        <f>"460003199011182221"</f>
        <v>460003199011182221</v>
      </c>
      <c r="D4721" t="str">
        <f>"248030300510"</f>
        <v>248030300510</v>
      </c>
      <c r="L4721">
        <v>6096</v>
      </c>
      <c r="M4721" t="s">
        <v>5129</v>
      </c>
      <c r="N4721" t="str">
        <f>"248030300510"</f>
        <v>248030300510</v>
      </c>
      <c r="O4721" t="str">
        <f>"460003199011182221"</f>
        <v>460003199011182221</v>
      </c>
    </row>
    <row r="4722" customFormat="1" spans="1:15">
      <c r="A4722">
        <v>6097</v>
      </c>
      <c r="B4722" t="s">
        <v>942</v>
      </c>
      <c r="C4722" t="str">
        <f>"410108199107060040"</f>
        <v>410108199107060040</v>
      </c>
      <c r="L4722">
        <v>6097</v>
      </c>
      <c r="M4722" t="s">
        <v>942</v>
      </c>
      <c r="O4722" t="str">
        <f>"410108199107060040"</f>
        <v>410108199107060040</v>
      </c>
    </row>
    <row r="4723" customFormat="1" spans="1:15">
      <c r="A4723">
        <v>6098</v>
      </c>
      <c r="B4723" t="s">
        <v>5130</v>
      </c>
      <c r="C4723" t="str">
        <f>"469023199712285649"</f>
        <v>469023199712285649</v>
      </c>
      <c r="D4723" t="str">
        <f>"248030503025"</f>
        <v>248030503025</v>
      </c>
      <c r="L4723">
        <v>6098</v>
      </c>
      <c r="M4723" t="s">
        <v>5130</v>
      </c>
      <c r="N4723" t="str">
        <f>"248030503025"</f>
        <v>248030503025</v>
      </c>
      <c r="O4723" t="str">
        <f>"469023199712285649"</f>
        <v>469023199712285649</v>
      </c>
    </row>
    <row r="4724" customFormat="1" spans="1:15">
      <c r="A4724">
        <v>6099</v>
      </c>
      <c r="B4724" t="s">
        <v>5131</v>
      </c>
      <c r="C4724" t="str">
        <f>"460033199409093251"</f>
        <v>460033199409093251</v>
      </c>
      <c r="L4724">
        <v>6099</v>
      </c>
      <c r="M4724" t="s">
        <v>5131</v>
      </c>
      <c r="O4724" t="str">
        <f>"460033199409093251"</f>
        <v>460033199409093251</v>
      </c>
    </row>
    <row r="4725" customFormat="1" spans="1:15">
      <c r="A4725">
        <v>6100</v>
      </c>
      <c r="B4725" t="s">
        <v>5132</v>
      </c>
      <c r="C4725" t="str">
        <f>"460028200210082824"</f>
        <v>460028200210082824</v>
      </c>
      <c r="D4725" t="str">
        <f>"248030502725"</f>
        <v>248030502725</v>
      </c>
      <c r="L4725">
        <v>6100</v>
      </c>
      <c r="M4725" t="s">
        <v>5132</v>
      </c>
      <c r="N4725" t="str">
        <f>"248030502725"</f>
        <v>248030502725</v>
      </c>
      <c r="O4725" t="str">
        <f>"460028200210082824"</f>
        <v>460028200210082824</v>
      </c>
    </row>
    <row r="4726" customFormat="1" spans="1:15">
      <c r="A4726">
        <v>6102</v>
      </c>
      <c r="B4726" t="s">
        <v>5133</v>
      </c>
      <c r="C4726" t="str">
        <f>"46002720030117172X"</f>
        <v>46002720030117172X</v>
      </c>
      <c r="D4726" t="str">
        <f>"248030503818"</f>
        <v>248030503818</v>
      </c>
      <c r="L4726">
        <v>6102</v>
      </c>
      <c r="M4726" t="s">
        <v>5133</v>
      </c>
      <c r="N4726" t="str">
        <f>"248030503818"</f>
        <v>248030503818</v>
      </c>
      <c r="O4726" t="str">
        <f>"46002720030117172X"</f>
        <v>46002720030117172X</v>
      </c>
    </row>
    <row r="4727" customFormat="1" spans="1:15">
      <c r="A4727">
        <v>6104</v>
      </c>
      <c r="B4727" t="s">
        <v>533</v>
      </c>
      <c r="C4727" t="str">
        <f>"460003199508152247"</f>
        <v>460003199508152247</v>
      </c>
      <c r="D4727" t="str">
        <f>"248030403403"</f>
        <v>248030403403</v>
      </c>
      <c r="L4727">
        <v>6104</v>
      </c>
      <c r="M4727" t="s">
        <v>533</v>
      </c>
      <c r="N4727" t="str">
        <f>"248030403403"</f>
        <v>248030403403</v>
      </c>
      <c r="O4727" t="str">
        <f>"460003199508152247"</f>
        <v>460003199508152247</v>
      </c>
    </row>
    <row r="4728" customFormat="1" spans="1:15">
      <c r="A4728">
        <v>6105</v>
      </c>
      <c r="B4728" t="s">
        <v>5134</v>
      </c>
      <c r="C4728" t="str">
        <f>"460003199611117845"</f>
        <v>460003199611117845</v>
      </c>
      <c r="D4728" t="str">
        <f>"248030501128"</f>
        <v>248030501128</v>
      </c>
      <c r="L4728">
        <v>6105</v>
      </c>
      <c r="M4728" t="s">
        <v>5134</v>
      </c>
      <c r="N4728" t="str">
        <f>"248030501128"</f>
        <v>248030501128</v>
      </c>
      <c r="O4728" t="str">
        <f>"460003199611117845"</f>
        <v>460003199611117845</v>
      </c>
    </row>
    <row r="4729" customFormat="1" spans="1:15">
      <c r="A4729">
        <v>6106</v>
      </c>
      <c r="B4729" t="s">
        <v>5135</v>
      </c>
      <c r="C4729" t="str">
        <f>"46003120000407002X"</f>
        <v>46003120000407002X</v>
      </c>
      <c r="D4729" t="str">
        <f>"248030402226"</f>
        <v>248030402226</v>
      </c>
      <c r="L4729">
        <v>6106</v>
      </c>
      <c r="M4729" t="s">
        <v>5135</v>
      </c>
      <c r="N4729" t="str">
        <f>"248030402226"</f>
        <v>248030402226</v>
      </c>
      <c r="O4729" t="str">
        <f>"46003120000407002X"</f>
        <v>46003120000407002X</v>
      </c>
    </row>
    <row r="4730" customFormat="1" spans="1:15">
      <c r="A4730">
        <v>6107</v>
      </c>
      <c r="B4730" t="s">
        <v>4353</v>
      </c>
      <c r="C4730" t="str">
        <f>"460006199707250420"</f>
        <v>460006199707250420</v>
      </c>
      <c r="L4730">
        <v>6107</v>
      </c>
      <c r="M4730" t="s">
        <v>4353</v>
      </c>
      <c r="O4730" t="str">
        <f>"460006199707250420"</f>
        <v>460006199707250420</v>
      </c>
    </row>
    <row r="4731" customFormat="1" spans="1:15">
      <c r="A4731">
        <v>6108</v>
      </c>
      <c r="B4731" t="s">
        <v>5136</v>
      </c>
      <c r="C4731" t="str">
        <f>"460102199807100622"</f>
        <v>460102199807100622</v>
      </c>
      <c r="D4731" t="str">
        <f>"248030502205"</f>
        <v>248030502205</v>
      </c>
      <c r="L4731">
        <v>6108</v>
      </c>
      <c r="M4731" t="s">
        <v>5136</v>
      </c>
      <c r="N4731" t="str">
        <f>"248030502205"</f>
        <v>248030502205</v>
      </c>
      <c r="O4731" t="str">
        <f>"460102199807100622"</f>
        <v>460102199807100622</v>
      </c>
    </row>
    <row r="4732" customFormat="1" spans="1:15">
      <c r="A4732">
        <v>6109</v>
      </c>
      <c r="B4732" t="s">
        <v>5137</v>
      </c>
      <c r="C4732" t="str">
        <f>"460105200204286223"</f>
        <v>460105200204286223</v>
      </c>
      <c r="D4732" t="str">
        <f>"248030501127"</f>
        <v>248030501127</v>
      </c>
      <c r="L4732">
        <v>6109</v>
      </c>
      <c r="M4732" t="s">
        <v>5137</v>
      </c>
      <c r="N4732" t="str">
        <f>"248030501127"</f>
        <v>248030501127</v>
      </c>
      <c r="O4732" t="str">
        <f>"460105200204286223"</f>
        <v>460105200204286223</v>
      </c>
    </row>
    <row r="4733" customFormat="1" spans="1:15">
      <c r="A4733">
        <v>6111</v>
      </c>
      <c r="B4733" t="s">
        <v>484</v>
      </c>
      <c r="C4733" t="str">
        <f>"460006199203066224"</f>
        <v>460006199203066224</v>
      </c>
      <c r="D4733" t="str">
        <f>"248030402903"</f>
        <v>248030402903</v>
      </c>
      <c r="L4733">
        <v>6111</v>
      </c>
      <c r="M4733" t="s">
        <v>484</v>
      </c>
      <c r="N4733" t="str">
        <f>"248030402903"</f>
        <v>248030402903</v>
      </c>
      <c r="O4733" t="str">
        <f>"460006199203066224"</f>
        <v>460006199203066224</v>
      </c>
    </row>
    <row r="4734" customFormat="1" spans="1:15">
      <c r="A4734">
        <v>6112</v>
      </c>
      <c r="B4734" t="s">
        <v>5138</v>
      </c>
      <c r="C4734" t="str">
        <f>"460200199703192748"</f>
        <v>460200199703192748</v>
      </c>
      <c r="D4734" t="str">
        <f>"248030100411"</f>
        <v>248030100411</v>
      </c>
      <c r="L4734">
        <v>6112</v>
      </c>
      <c r="M4734" t="s">
        <v>5138</v>
      </c>
      <c r="N4734" t="str">
        <f>"248030100411"</f>
        <v>248030100411</v>
      </c>
      <c r="O4734" t="str">
        <f>"460200199703192748"</f>
        <v>460200199703192748</v>
      </c>
    </row>
    <row r="4735" customFormat="1" spans="1:15">
      <c r="A4735">
        <v>6113</v>
      </c>
      <c r="B4735" t="s">
        <v>5139</v>
      </c>
      <c r="C4735" t="str">
        <f>"460005199711120016"</f>
        <v>460005199711120016</v>
      </c>
      <c r="D4735" t="str">
        <f>"248030201803"</f>
        <v>248030201803</v>
      </c>
      <c r="L4735">
        <v>6113</v>
      </c>
      <c r="M4735" t="s">
        <v>5139</v>
      </c>
      <c r="N4735" t="str">
        <f>"248030201803"</f>
        <v>248030201803</v>
      </c>
      <c r="O4735" t="str">
        <f>"460005199711120016"</f>
        <v>460005199711120016</v>
      </c>
    </row>
    <row r="4736" customFormat="1" spans="1:15">
      <c r="A4736">
        <v>6114</v>
      </c>
      <c r="B4736" t="s">
        <v>5140</v>
      </c>
      <c r="C4736" t="str">
        <f>"460033199308067169"</f>
        <v>460033199308067169</v>
      </c>
      <c r="L4736">
        <v>6114</v>
      </c>
      <c r="M4736" t="s">
        <v>5140</v>
      </c>
      <c r="O4736" t="str">
        <f>"460033199308067169"</f>
        <v>460033199308067169</v>
      </c>
    </row>
    <row r="4737" customFormat="1" spans="1:15">
      <c r="A4737">
        <v>6115</v>
      </c>
      <c r="B4737" t="s">
        <v>5141</v>
      </c>
      <c r="C4737" t="str">
        <f>"500230199611307422"</f>
        <v>500230199611307422</v>
      </c>
      <c r="D4737" t="str">
        <f>"248030400527"</f>
        <v>248030400527</v>
      </c>
      <c r="L4737">
        <v>6115</v>
      </c>
      <c r="M4737" t="s">
        <v>5141</v>
      </c>
      <c r="N4737" t="str">
        <f>"248030400527"</f>
        <v>248030400527</v>
      </c>
      <c r="O4737" t="str">
        <f>"500230199611307422"</f>
        <v>500230199611307422</v>
      </c>
    </row>
    <row r="4738" customFormat="1" spans="1:15">
      <c r="A4738">
        <v>6116</v>
      </c>
      <c r="B4738" t="s">
        <v>5142</v>
      </c>
      <c r="C4738" t="str">
        <f>"460028199205043219"</f>
        <v>460028199205043219</v>
      </c>
      <c r="D4738" t="str">
        <f>"248030503409"</f>
        <v>248030503409</v>
      </c>
      <c r="L4738">
        <v>6116</v>
      </c>
      <c r="M4738" t="s">
        <v>5142</v>
      </c>
      <c r="N4738" t="str">
        <f>"248030503409"</f>
        <v>248030503409</v>
      </c>
      <c r="O4738" t="str">
        <f>"460028199205043219"</f>
        <v>460028199205043219</v>
      </c>
    </row>
    <row r="4739" customFormat="1" spans="1:15">
      <c r="A4739">
        <v>6117</v>
      </c>
      <c r="B4739" t="s">
        <v>423</v>
      </c>
      <c r="C4739" t="str">
        <f>"460004199906270018"</f>
        <v>460004199906270018</v>
      </c>
      <c r="D4739" t="str">
        <f>"248030402422"</f>
        <v>248030402422</v>
      </c>
      <c r="L4739">
        <v>6117</v>
      </c>
      <c r="M4739" t="s">
        <v>423</v>
      </c>
      <c r="N4739" t="str">
        <f>"248030402422"</f>
        <v>248030402422</v>
      </c>
      <c r="O4739" t="str">
        <f>"460004199906270018"</f>
        <v>460004199906270018</v>
      </c>
    </row>
    <row r="4740" customFormat="1" spans="1:15">
      <c r="A4740">
        <v>6119</v>
      </c>
      <c r="B4740" t="s">
        <v>5143</v>
      </c>
      <c r="C4740" t="str">
        <f>"460025199907133324"</f>
        <v>460025199907133324</v>
      </c>
      <c r="D4740" t="str">
        <f>"248030102516"</f>
        <v>248030102516</v>
      </c>
      <c r="L4740">
        <v>6119</v>
      </c>
      <c r="M4740" t="s">
        <v>5143</v>
      </c>
      <c r="N4740" t="str">
        <f>"248030102516"</f>
        <v>248030102516</v>
      </c>
      <c r="O4740" t="str">
        <f>"460025199907133324"</f>
        <v>460025199907133324</v>
      </c>
    </row>
    <row r="4741" customFormat="1" spans="1:15">
      <c r="A4741">
        <v>6120</v>
      </c>
      <c r="B4741" t="s">
        <v>5144</v>
      </c>
      <c r="C4741" t="str">
        <f>"460006199606033726"</f>
        <v>460006199606033726</v>
      </c>
      <c r="L4741">
        <v>6120</v>
      </c>
      <c r="M4741" t="s">
        <v>5144</v>
      </c>
      <c r="O4741" t="str">
        <f>"460006199606033726"</f>
        <v>460006199606033726</v>
      </c>
    </row>
    <row r="4742" customFormat="1" spans="1:15">
      <c r="A4742">
        <v>6121</v>
      </c>
      <c r="B4742" t="s">
        <v>2528</v>
      </c>
      <c r="C4742" t="str">
        <f>"46002620000525062X"</f>
        <v>46002620000525062X</v>
      </c>
      <c r="D4742" t="str">
        <f>"248030302110"</f>
        <v>248030302110</v>
      </c>
      <c r="L4742">
        <v>6121</v>
      </c>
      <c r="M4742" t="s">
        <v>2528</v>
      </c>
      <c r="N4742" t="str">
        <f>"248030302110"</f>
        <v>248030302110</v>
      </c>
      <c r="O4742" t="str">
        <f>"46002620000525062X"</f>
        <v>46002620000525062X</v>
      </c>
    </row>
    <row r="4743" customFormat="1" spans="1:15">
      <c r="A4743">
        <v>6122</v>
      </c>
      <c r="B4743" t="s">
        <v>5145</v>
      </c>
      <c r="C4743" t="str">
        <f>"460033199911145096"</f>
        <v>460033199911145096</v>
      </c>
      <c r="D4743" t="str">
        <f>"248030102522"</f>
        <v>248030102522</v>
      </c>
      <c r="L4743">
        <v>6122</v>
      </c>
      <c r="M4743" t="s">
        <v>5145</v>
      </c>
      <c r="N4743" t="str">
        <f>"248030102522"</f>
        <v>248030102522</v>
      </c>
      <c r="O4743" t="str">
        <f>"460033199911145096"</f>
        <v>460033199911145096</v>
      </c>
    </row>
    <row r="4744" customFormat="1" spans="1:15">
      <c r="A4744">
        <v>6124</v>
      </c>
      <c r="B4744" t="s">
        <v>5146</v>
      </c>
      <c r="C4744" t="str">
        <f>"460002199807191821"</f>
        <v>460002199807191821</v>
      </c>
      <c r="D4744" t="str">
        <f>"248030104527"</f>
        <v>248030104527</v>
      </c>
      <c r="L4744">
        <v>6124</v>
      </c>
      <c r="M4744" t="s">
        <v>5146</v>
      </c>
      <c r="N4744" t="str">
        <f>"248030104527"</f>
        <v>248030104527</v>
      </c>
      <c r="O4744" t="str">
        <f>"460002199807191821"</f>
        <v>460002199807191821</v>
      </c>
    </row>
    <row r="4745" customFormat="1" spans="1:15">
      <c r="A4745">
        <v>6126</v>
      </c>
      <c r="B4745" t="s">
        <v>5147</v>
      </c>
      <c r="C4745" t="str">
        <f>"469023200002142964"</f>
        <v>469023200002142964</v>
      </c>
      <c r="D4745" t="str">
        <f>"248030504110"</f>
        <v>248030504110</v>
      </c>
      <c r="L4745">
        <v>6126</v>
      </c>
      <c r="M4745" t="s">
        <v>5147</v>
      </c>
      <c r="N4745" t="str">
        <f>"248030504110"</f>
        <v>248030504110</v>
      </c>
      <c r="O4745" t="str">
        <f>"469023200002142964"</f>
        <v>469023200002142964</v>
      </c>
    </row>
    <row r="4746" customFormat="1" spans="1:15">
      <c r="A4746">
        <v>6127</v>
      </c>
      <c r="B4746" t="s">
        <v>5148</v>
      </c>
      <c r="C4746" t="str">
        <f>"460035199307140224"</f>
        <v>460035199307140224</v>
      </c>
      <c r="L4746">
        <v>6127</v>
      </c>
      <c r="M4746" t="s">
        <v>5148</v>
      </c>
      <c r="O4746" t="str">
        <f>"460035199307140224"</f>
        <v>460035199307140224</v>
      </c>
    </row>
    <row r="4747" customFormat="1" spans="1:15">
      <c r="A4747">
        <v>6128</v>
      </c>
      <c r="B4747" t="s">
        <v>5149</v>
      </c>
      <c r="C4747" t="str">
        <f>"460007199505095801"</f>
        <v>460007199505095801</v>
      </c>
      <c r="L4747">
        <v>6128</v>
      </c>
      <c r="M4747" t="s">
        <v>5149</v>
      </c>
      <c r="O4747" t="str">
        <f>"460007199505095801"</f>
        <v>460007199505095801</v>
      </c>
    </row>
    <row r="4748" customFormat="1" spans="1:15">
      <c r="A4748">
        <v>6129</v>
      </c>
      <c r="B4748" t="s">
        <v>5150</v>
      </c>
      <c r="C4748" t="str">
        <f>"460033199206183281"</f>
        <v>460033199206183281</v>
      </c>
      <c r="L4748">
        <v>6129</v>
      </c>
      <c r="M4748" t="s">
        <v>5150</v>
      </c>
      <c r="O4748" t="str">
        <f>"460033199206183281"</f>
        <v>460033199206183281</v>
      </c>
    </row>
    <row r="4749" customFormat="1" spans="1:15">
      <c r="A4749">
        <v>6130</v>
      </c>
      <c r="B4749" t="s">
        <v>5151</v>
      </c>
      <c r="C4749" t="str">
        <f>"460033199510105421"</f>
        <v>460033199510105421</v>
      </c>
      <c r="D4749" t="str">
        <f>"248030101229"</f>
        <v>248030101229</v>
      </c>
      <c r="L4749">
        <v>6130</v>
      </c>
      <c r="M4749" t="s">
        <v>5151</v>
      </c>
      <c r="N4749" t="str">
        <f>"248030101229"</f>
        <v>248030101229</v>
      </c>
      <c r="O4749" t="str">
        <f>"460033199510105421"</f>
        <v>460033199510105421</v>
      </c>
    </row>
    <row r="4750" customFormat="1" spans="1:15">
      <c r="A4750">
        <v>6131</v>
      </c>
      <c r="B4750" t="s">
        <v>5152</v>
      </c>
      <c r="C4750" t="str">
        <f>"460103199909030019"</f>
        <v>460103199909030019</v>
      </c>
      <c r="D4750" t="str">
        <f>"248030104816"</f>
        <v>248030104816</v>
      </c>
      <c r="L4750">
        <v>6131</v>
      </c>
      <c r="M4750" t="s">
        <v>5152</v>
      </c>
      <c r="N4750" t="str">
        <f>"248030104816"</f>
        <v>248030104816</v>
      </c>
      <c r="O4750" t="str">
        <f>"460103199909030019"</f>
        <v>460103199909030019</v>
      </c>
    </row>
    <row r="4751" customFormat="1" spans="1:15">
      <c r="A4751">
        <v>6132</v>
      </c>
      <c r="B4751" t="s">
        <v>5153</v>
      </c>
      <c r="C4751" t="str">
        <f>"460002199307293426"</f>
        <v>460002199307293426</v>
      </c>
      <c r="D4751" t="str">
        <f>"248030503323"</f>
        <v>248030503323</v>
      </c>
      <c r="L4751">
        <v>6132</v>
      </c>
      <c r="M4751" t="s">
        <v>5153</v>
      </c>
      <c r="N4751" t="str">
        <f>"248030503323"</f>
        <v>248030503323</v>
      </c>
      <c r="O4751" t="str">
        <f>"460002199307293426"</f>
        <v>460002199307293426</v>
      </c>
    </row>
    <row r="4752" customFormat="1" spans="1:15">
      <c r="A4752">
        <v>6133</v>
      </c>
      <c r="B4752" t="s">
        <v>3115</v>
      </c>
      <c r="C4752" t="str">
        <f>"460025200107212126"</f>
        <v>460025200107212126</v>
      </c>
      <c r="D4752" t="str">
        <f>"248030400430"</f>
        <v>248030400430</v>
      </c>
      <c r="L4752">
        <v>6133</v>
      </c>
      <c r="M4752" t="s">
        <v>3115</v>
      </c>
      <c r="N4752" t="str">
        <f>"248030400430"</f>
        <v>248030400430</v>
      </c>
      <c r="O4752" t="str">
        <f>"460025200107212126"</f>
        <v>460025200107212126</v>
      </c>
    </row>
    <row r="4753" customFormat="1" spans="1:15">
      <c r="A4753">
        <v>6134</v>
      </c>
      <c r="B4753" t="s">
        <v>5154</v>
      </c>
      <c r="C4753" t="str">
        <f>"460102200110200928"</f>
        <v>460102200110200928</v>
      </c>
      <c r="D4753" t="str">
        <f>"248030101625"</f>
        <v>248030101625</v>
      </c>
      <c r="L4753">
        <v>6134</v>
      </c>
      <c r="M4753" t="s">
        <v>5154</v>
      </c>
      <c r="N4753" t="str">
        <f>"248030101625"</f>
        <v>248030101625</v>
      </c>
      <c r="O4753" t="str">
        <f>"460102200110200928"</f>
        <v>460102200110200928</v>
      </c>
    </row>
    <row r="4754" customFormat="1" spans="1:15">
      <c r="A4754">
        <v>6135</v>
      </c>
      <c r="B4754" t="s">
        <v>5155</v>
      </c>
      <c r="C4754" t="str">
        <f>"460003199605244426"</f>
        <v>460003199605244426</v>
      </c>
      <c r="D4754" t="str">
        <f>"248030300420"</f>
        <v>248030300420</v>
      </c>
      <c r="L4754">
        <v>6135</v>
      </c>
      <c r="M4754" t="s">
        <v>5155</v>
      </c>
      <c r="N4754" t="str">
        <f>"248030300420"</f>
        <v>248030300420</v>
      </c>
      <c r="O4754" t="str">
        <f>"460003199605244426"</f>
        <v>460003199605244426</v>
      </c>
    </row>
    <row r="4755" customFormat="1" spans="1:15">
      <c r="A4755">
        <v>6136</v>
      </c>
      <c r="B4755" t="s">
        <v>5156</v>
      </c>
      <c r="C4755" t="str">
        <f>"220203199307272441"</f>
        <v>220203199307272441</v>
      </c>
      <c r="L4755">
        <v>6136</v>
      </c>
      <c r="M4755" t="s">
        <v>5156</v>
      </c>
      <c r="O4755" t="str">
        <f>"220203199307272441"</f>
        <v>220203199307272441</v>
      </c>
    </row>
    <row r="4756" customFormat="1" spans="1:15">
      <c r="A4756">
        <v>6137</v>
      </c>
      <c r="B4756" t="s">
        <v>5157</v>
      </c>
      <c r="C4756" t="str">
        <f>"460005200106215143"</f>
        <v>460005200106215143</v>
      </c>
      <c r="D4756" t="str">
        <f>"248030402523"</f>
        <v>248030402523</v>
      </c>
      <c r="L4756">
        <v>6137</v>
      </c>
      <c r="M4756" t="s">
        <v>5157</v>
      </c>
      <c r="N4756" t="str">
        <f>"248030402523"</f>
        <v>248030402523</v>
      </c>
      <c r="O4756" t="str">
        <f>"460005200106215143"</f>
        <v>460005200106215143</v>
      </c>
    </row>
    <row r="4757" customFormat="1" spans="1:15">
      <c r="A4757">
        <v>6138</v>
      </c>
      <c r="B4757" t="s">
        <v>5158</v>
      </c>
      <c r="C4757" t="str">
        <f>"440882200105306564"</f>
        <v>440882200105306564</v>
      </c>
      <c r="D4757" t="str">
        <f>"248030200219"</f>
        <v>248030200219</v>
      </c>
      <c r="L4757">
        <v>6138</v>
      </c>
      <c r="M4757" t="s">
        <v>5158</v>
      </c>
      <c r="N4757" t="str">
        <f>"248030200219"</f>
        <v>248030200219</v>
      </c>
      <c r="O4757" t="str">
        <f>"440882200105306564"</f>
        <v>440882200105306564</v>
      </c>
    </row>
    <row r="4758" customFormat="1" spans="1:15">
      <c r="A4758">
        <v>6139</v>
      </c>
      <c r="B4758" t="s">
        <v>5159</v>
      </c>
      <c r="C4758" t="str">
        <f>"460006199812010429"</f>
        <v>460006199812010429</v>
      </c>
      <c r="D4758" t="str">
        <f>"248030302209"</f>
        <v>248030302209</v>
      </c>
      <c r="L4758">
        <v>6139</v>
      </c>
      <c r="M4758" t="s">
        <v>5159</v>
      </c>
      <c r="N4758" t="str">
        <f>"248030302209"</f>
        <v>248030302209</v>
      </c>
      <c r="O4758" t="str">
        <f>"460006199812010429"</f>
        <v>460006199812010429</v>
      </c>
    </row>
    <row r="4759" customFormat="1" spans="1:15">
      <c r="A4759">
        <v>6140</v>
      </c>
      <c r="B4759" t="s">
        <v>5160</v>
      </c>
      <c r="C4759" t="str">
        <f>"469023200012274725"</f>
        <v>469023200012274725</v>
      </c>
      <c r="D4759" t="str">
        <f>"248030503912"</f>
        <v>248030503912</v>
      </c>
      <c r="L4759">
        <v>6140</v>
      </c>
      <c r="M4759" t="s">
        <v>5160</v>
      </c>
      <c r="N4759" t="str">
        <f>"248030503912"</f>
        <v>248030503912</v>
      </c>
      <c r="O4759" t="str">
        <f>"469023200012274725"</f>
        <v>469023200012274725</v>
      </c>
    </row>
    <row r="4760" customFormat="1" spans="1:15">
      <c r="A4760">
        <v>6141</v>
      </c>
      <c r="B4760" t="s">
        <v>5161</v>
      </c>
      <c r="C4760" t="str">
        <f>"460026200009260913"</f>
        <v>460026200009260913</v>
      </c>
      <c r="L4760">
        <v>6141</v>
      </c>
      <c r="M4760" t="s">
        <v>5161</v>
      </c>
      <c r="O4760" t="str">
        <f>"460026200009260913"</f>
        <v>460026200009260913</v>
      </c>
    </row>
    <row r="4761" customFormat="1" spans="1:15">
      <c r="A4761">
        <v>6142</v>
      </c>
      <c r="B4761" t="s">
        <v>5162</v>
      </c>
      <c r="C4761" t="str">
        <f>"460004199108032648"</f>
        <v>460004199108032648</v>
      </c>
      <c r="D4761" t="str">
        <f>"248030400512"</f>
        <v>248030400512</v>
      </c>
      <c r="L4761">
        <v>6142</v>
      </c>
      <c r="M4761" t="s">
        <v>5162</v>
      </c>
      <c r="N4761" t="str">
        <f>"248030400512"</f>
        <v>248030400512</v>
      </c>
      <c r="O4761" t="str">
        <f>"460004199108032648"</f>
        <v>460004199108032648</v>
      </c>
    </row>
    <row r="4762" customFormat="1" spans="1:15">
      <c r="A4762">
        <v>6143</v>
      </c>
      <c r="B4762" t="s">
        <v>777</v>
      </c>
      <c r="C4762" t="str">
        <f>"46902419990414082X"</f>
        <v>46902419990414082X</v>
      </c>
      <c r="D4762" t="str">
        <f>"248030402813"</f>
        <v>248030402813</v>
      </c>
      <c r="L4762">
        <v>6143</v>
      </c>
      <c r="M4762" t="s">
        <v>777</v>
      </c>
      <c r="N4762" t="str">
        <f>"248030402813"</f>
        <v>248030402813</v>
      </c>
      <c r="O4762" t="str">
        <f>"46902419990414082X"</f>
        <v>46902419990414082X</v>
      </c>
    </row>
    <row r="4763" customFormat="1" spans="1:15">
      <c r="A4763">
        <v>6144</v>
      </c>
      <c r="B4763" t="s">
        <v>5163</v>
      </c>
      <c r="C4763" t="str">
        <f>"469024200307076044"</f>
        <v>469024200307076044</v>
      </c>
      <c r="D4763" t="str">
        <f>"248030103413"</f>
        <v>248030103413</v>
      </c>
      <c r="L4763">
        <v>6144</v>
      </c>
      <c r="M4763" t="s">
        <v>5163</v>
      </c>
      <c r="N4763" t="str">
        <f>"248030103413"</f>
        <v>248030103413</v>
      </c>
      <c r="O4763" t="str">
        <f>"469024200307076044"</f>
        <v>469024200307076044</v>
      </c>
    </row>
    <row r="4764" customFormat="1" spans="1:15">
      <c r="A4764">
        <v>6145</v>
      </c>
      <c r="B4764" t="s">
        <v>5164</v>
      </c>
      <c r="C4764" t="str">
        <f>"460005200001190525"</f>
        <v>460005200001190525</v>
      </c>
      <c r="D4764" t="str">
        <f>"248030300806"</f>
        <v>248030300806</v>
      </c>
      <c r="L4764">
        <v>6145</v>
      </c>
      <c r="M4764" t="s">
        <v>5164</v>
      </c>
      <c r="N4764" t="str">
        <f>"248030300806"</f>
        <v>248030300806</v>
      </c>
      <c r="O4764" t="str">
        <f>"460005200001190525"</f>
        <v>460005200001190525</v>
      </c>
    </row>
    <row r="4765" customFormat="1" spans="1:15">
      <c r="A4765">
        <v>6146</v>
      </c>
      <c r="B4765" t="s">
        <v>5165</v>
      </c>
      <c r="C4765" t="str">
        <f>"652801199901230027"</f>
        <v>652801199901230027</v>
      </c>
      <c r="D4765" t="str">
        <f>"248030300322"</f>
        <v>248030300322</v>
      </c>
      <c r="L4765">
        <v>6146</v>
      </c>
      <c r="M4765" t="s">
        <v>5165</v>
      </c>
      <c r="N4765" t="str">
        <f>"248030300322"</f>
        <v>248030300322</v>
      </c>
      <c r="O4765" t="str">
        <f>"652801199901230027"</f>
        <v>652801199901230027</v>
      </c>
    </row>
    <row r="4766" customFormat="1" spans="1:15">
      <c r="A4766">
        <v>6147</v>
      </c>
      <c r="B4766" t="s">
        <v>5166</v>
      </c>
      <c r="C4766" t="str">
        <f>"522422200110143652"</f>
        <v>522422200110143652</v>
      </c>
      <c r="D4766" t="str">
        <f>"248030201230"</f>
        <v>248030201230</v>
      </c>
      <c r="L4766">
        <v>6147</v>
      </c>
      <c r="M4766" t="s">
        <v>5166</v>
      </c>
      <c r="N4766" t="str">
        <f>"248030201230"</f>
        <v>248030201230</v>
      </c>
      <c r="O4766" t="str">
        <f>"522422200110143652"</f>
        <v>522422200110143652</v>
      </c>
    </row>
    <row r="4767" customFormat="1" spans="1:15">
      <c r="A4767">
        <v>6148</v>
      </c>
      <c r="B4767" t="s">
        <v>5167</v>
      </c>
      <c r="C4767" t="str">
        <f>"46002119950731442X"</f>
        <v>46002119950731442X</v>
      </c>
      <c r="D4767" t="str">
        <f>"248030100708"</f>
        <v>248030100708</v>
      </c>
      <c r="L4767">
        <v>6148</v>
      </c>
      <c r="M4767" t="s">
        <v>5167</v>
      </c>
      <c r="N4767" t="str">
        <f>"248030100708"</f>
        <v>248030100708</v>
      </c>
      <c r="O4767" t="str">
        <f>"46002119950731442X"</f>
        <v>46002119950731442X</v>
      </c>
    </row>
    <row r="4768" customFormat="1" spans="1:15">
      <c r="A4768">
        <v>6149</v>
      </c>
      <c r="B4768" t="s">
        <v>5168</v>
      </c>
      <c r="C4768" t="str">
        <f>"460021198803044626"</f>
        <v>460021198803044626</v>
      </c>
      <c r="D4768" t="str">
        <f>"248030100230"</f>
        <v>248030100230</v>
      </c>
      <c r="L4768">
        <v>6149</v>
      </c>
      <c r="M4768" t="s">
        <v>5168</v>
      </c>
      <c r="N4768" t="str">
        <f>"248030100230"</f>
        <v>248030100230</v>
      </c>
      <c r="O4768" t="str">
        <f>"460021198803044626"</f>
        <v>460021198803044626</v>
      </c>
    </row>
    <row r="4769" customFormat="1" spans="1:15">
      <c r="A4769">
        <v>6150</v>
      </c>
      <c r="B4769" t="s">
        <v>5169</v>
      </c>
      <c r="C4769" t="str">
        <f>"460003199705062427"</f>
        <v>460003199705062427</v>
      </c>
      <c r="L4769">
        <v>6150</v>
      </c>
      <c r="M4769" t="s">
        <v>5169</v>
      </c>
      <c r="O4769" t="str">
        <f>"460003199705062427"</f>
        <v>460003199705062427</v>
      </c>
    </row>
    <row r="4770" customFormat="1" spans="1:15">
      <c r="A4770">
        <v>6151</v>
      </c>
      <c r="B4770" t="s">
        <v>703</v>
      </c>
      <c r="C4770" t="str">
        <f>"460034199803031821"</f>
        <v>460034199803031821</v>
      </c>
      <c r="D4770" t="str">
        <f>"248030100725"</f>
        <v>248030100725</v>
      </c>
      <c r="L4770">
        <v>6151</v>
      </c>
      <c r="M4770" t="s">
        <v>703</v>
      </c>
      <c r="N4770" t="str">
        <f>"248030100725"</f>
        <v>248030100725</v>
      </c>
      <c r="O4770" t="str">
        <f>"460034199803031821"</f>
        <v>460034199803031821</v>
      </c>
    </row>
    <row r="4771" customFormat="1" spans="1:15">
      <c r="A4771">
        <v>6152</v>
      </c>
      <c r="B4771" t="s">
        <v>5170</v>
      </c>
      <c r="C4771" t="str">
        <f>"46000319970904404X"</f>
        <v>46000319970904404X</v>
      </c>
      <c r="D4771" t="str">
        <f>"248030203710"</f>
        <v>248030203710</v>
      </c>
      <c r="L4771">
        <v>6152</v>
      </c>
      <c r="M4771" t="s">
        <v>5170</v>
      </c>
      <c r="N4771" t="str">
        <f>"248030203710"</f>
        <v>248030203710</v>
      </c>
      <c r="O4771" t="str">
        <f>"46000319970904404X"</f>
        <v>46000319970904404X</v>
      </c>
    </row>
    <row r="4772" customFormat="1" spans="1:15">
      <c r="A4772">
        <v>6153</v>
      </c>
      <c r="B4772" t="s">
        <v>5171</v>
      </c>
      <c r="C4772" t="str">
        <f>"469003200104239315"</f>
        <v>469003200104239315</v>
      </c>
      <c r="D4772" t="str">
        <f>"248030300328"</f>
        <v>248030300328</v>
      </c>
      <c r="L4772">
        <v>6153</v>
      </c>
      <c r="M4772" t="s">
        <v>5171</v>
      </c>
      <c r="N4772" t="str">
        <f>"248030300328"</f>
        <v>248030300328</v>
      </c>
      <c r="O4772" t="str">
        <f>"469003200104239315"</f>
        <v>469003200104239315</v>
      </c>
    </row>
    <row r="4773" customFormat="1" spans="1:15">
      <c r="A4773">
        <v>6154</v>
      </c>
      <c r="B4773" t="s">
        <v>5172</v>
      </c>
      <c r="C4773" t="str">
        <f>"460033199512078340"</f>
        <v>460033199512078340</v>
      </c>
      <c r="D4773" t="str">
        <f>"248030402423"</f>
        <v>248030402423</v>
      </c>
      <c r="L4773">
        <v>6154</v>
      </c>
      <c r="M4773" t="s">
        <v>5172</v>
      </c>
      <c r="N4773" t="str">
        <f>"248030402423"</f>
        <v>248030402423</v>
      </c>
      <c r="O4773" t="str">
        <f>"460033199512078340"</f>
        <v>460033199512078340</v>
      </c>
    </row>
    <row r="4774" customFormat="1" spans="1:15">
      <c r="A4774">
        <v>6155</v>
      </c>
      <c r="B4774" t="s">
        <v>5173</v>
      </c>
      <c r="C4774" t="str">
        <f>"460003199711120021"</f>
        <v>460003199711120021</v>
      </c>
      <c r="D4774" t="str">
        <f>"248030204001"</f>
        <v>248030204001</v>
      </c>
      <c r="L4774">
        <v>6155</v>
      </c>
      <c r="M4774" t="s">
        <v>5173</v>
      </c>
      <c r="N4774" t="str">
        <f>"248030204001"</f>
        <v>248030204001</v>
      </c>
      <c r="O4774" t="str">
        <f>"460003199711120021"</f>
        <v>460003199711120021</v>
      </c>
    </row>
    <row r="4775" customFormat="1" spans="1:15">
      <c r="A4775">
        <v>6156</v>
      </c>
      <c r="B4775" t="s">
        <v>5174</v>
      </c>
      <c r="C4775" t="str">
        <f>"460104199909201224"</f>
        <v>460104199909201224</v>
      </c>
      <c r="D4775" t="str">
        <f>"248030402904"</f>
        <v>248030402904</v>
      </c>
      <c r="L4775">
        <v>6156</v>
      </c>
      <c r="M4775" t="s">
        <v>5174</v>
      </c>
      <c r="N4775" t="str">
        <f>"248030402904"</f>
        <v>248030402904</v>
      </c>
      <c r="O4775" t="str">
        <f>"460104199909201224"</f>
        <v>460104199909201224</v>
      </c>
    </row>
    <row r="4776" customFormat="1" spans="1:15">
      <c r="A4776">
        <v>6157</v>
      </c>
      <c r="B4776" t="s">
        <v>5175</v>
      </c>
      <c r="C4776" t="str">
        <f>"460006200111214424"</f>
        <v>460006200111214424</v>
      </c>
      <c r="D4776" t="str">
        <f>"248030103605"</f>
        <v>248030103605</v>
      </c>
      <c r="L4776">
        <v>6157</v>
      </c>
      <c r="M4776" t="s">
        <v>5175</v>
      </c>
      <c r="N4776" t="str">
        <f>"248030103605"</f>
        <v>248030103605</v>
      </c>
      <c r="O4776" t="str">
        <f>"460006200111214424"</f>
        <v>460006200111214424</v>
      </c>
    </row>
    <row r="4777" customFormat="1" spans="1:15">
      <c r="A4777">
        <v>6158</v>
      </c>
      <c r="B4777" t="s">
        <v>5176</v>
      </c>
      <c r="C4777" t="str">
        <f>"460028199103053619"</f>
        <v>460028199103053619</v>
      </c>
      <c r="D4777" t="str">
        <f>"248030402715"</f>
        <v>248030402715</v>
      </c>
      <c r="L4777">
        <v>6158</v>
      </c>
      <c r="M4777" t="s">
        <v>5176</v>
      </c>
      <c r="N4777" t="str">
        <f>"248030402715"</f>
        <v>248030402715</v>
      </c>
      <c r="O4777" t="str">
        <f>"460028199103053619"</f>
        <v>460028199103053619</v>
      </c>
    </row>
    <row r="4778" customFormat="1" spans="1:15">
      <c r="A4778">
        <v>6160</v>
      </c>
      <c r="B4778" t="s">
        <v>5177</v>
      </c>
      <c r="C4778" t="str">
        <f>"46002819960316602X"</f>
        <v>46002819960316602X</v>
      </c>
      <c r="D4778" t="str">
        <f>"248030500417"</f>
        <v>248030500417</v>
      </c>
      <c r="L4778">
        <v>6160</v>
      </c>
      <c r="M4778" t="s">
        <v>5177</v>
      </c>
      <c r="N4778" t="str">
        <f>"248030500417"</f>
        <v>248030500417</v>
      </c>
      <c r="O4778" t="str">
        <f>"46002819960316602X"</f>
        <v>46002819960316602X</v>
      </c>
    </row>
    <row r="4779" customFormat="1" spans="1:15">
      <c r="A4779">
        <v>6161</v>
      </c>
      <c r="B4779" t="s">
        <v>3718</v>
      </c>
      <c r="C4779" t="str">
        <f>"460006198906240247"</f>
        <v>460006198906240247</v>
      </c>
      <c r="D4779" t="str">
        <f>"248030501230"</f>
        <v>248030501230</v>
      </c>
      <c r="L4779">
        <v>6161</v>
      </c>
      <c r="M4779" t="s">
        <v>3718</v>
      </c>
      <c r="N4779" t="str">
        <f>"248030501230"</f>
        <v>248030501230</v>
      </c>
      <c r="O4779" t="str">
        <f>"460006198906240247"</f>
        <v>460006198906240247</v>
      </c>
    </row>
    <row r="4780" customFormat="1" spans="1:15">
      <c r="A4780">
        <v>6162</v>
      </c>
      <c r="B4780" t="s">
        <v>5178</v>
      </c>
      <c r="C4780" t="str">
        <f>"460003199301136610"</f>
        <v>460003199301136610</v>
      </c>
      <c r="D4780" t="str">
        <f>"248030201111"</f>
        <v>248030201111</v>
      </c>
      <c r="L4780">
        <v>6162</v>
      </c>
      <c r="M4780" t="s">
        <v>5178</v>
      </c>
      <c r="N4780" t="str">
        <f>"248030201111"</f>
        <v>248030201111</v>
      </c>
      <c r="O4780" t="str">
        <f>"460003199301136610"</f>
        <v>460003199301136610</v>
      </c>
    </row>
    <row r="4781" customFormat="1" spans="1:15">
      <c r="A4781">
        <v>6163</v>
      </c>
      <c r="B4781" t="s">
        <v>5179</v>
      </c>
      <c r="C4781" t="str">
        <f>"460200199809021197"</f>
        <v>460200199809021197</v>
      </c>
      <c r="D4781" t="str">
        <f>"248030301628"</f>
        <v>248030301628</v>
      </c>
      <c r="L4781">
        <v>6163</v>
      </c>
      <c r="M4781" t="s">
        <v>5179</v>
      </c>
      <c r="N4781" t="str">
        <f>"248030301628"</f>
        <v>248030301628</v>
      </c>
      <c r="O4781" t="str">
        <f>"460200199809021197"</f>
        <v>460200199809021197</v>
      </c>
    </row>
    <row r="4782" customFormat="1" spans="1:15">
      <c r="A4782">
        <v>6164</v>
      </c>
      <c r="B4782" t="s">
        <v>5180</v>
      </c>
      <c r="C4782" t="str">
        <f>"460033199206064485"</f>
        <v>460033199206064485</v>
      </c>
      <c r="D4782" t="str">
        <f>"248030500304"</f>
        <v>248030500304</v>
      </c>
      <c r="L4782">
        <v>6164</v>
      </c>
      <c r="M4782" t="s">
        <v>5180</v>
      </c>
      <c r="N4782" t="str">
        <f>"248030500304"</f>
        <v>248030500304</v>
      </c>
      <c r="O4782" t="str">
        <f>"460033199206064485"</f>
        <v>460033199206064485</v>
      </c>
    </row>
    <row r="4783" customFormat="1" spans="1:15">
      <c r="A4783">
        <v>6167</v>
      </c>
      <c r="B4783" t="s">
        <v>5181</v>
      </c>
      <c r="C4783" t="str">
        <f>"460007199705294987"</f>
        <v>460007199705294987</v>
      </c>
      <c r="L4783">
        <v>6167</v>
      </c>
      <c r="M4783" t="s">
        <v>5181</v>
      </c>
      <c r="O4783" t="str">
        <f>"460007199705294987"</f>
        <v>460007199705294987</v>
      </c>
    </row>
    <row r="4784" customFormat="1" spans="1:15">
      <c r="A4784">
        <v>6168</v>
      </c>
      <c r="B4784" t="s">
        <v>5182</v>
      </c>
      <c r="C4784" t="str">
        <f>"420503199611055226"</f>
        <v>420503199611055226</v>
      </c>
      <c r="D4784" t="str">
        <f>"248030203507"</f>
        <v>248030203507</v>
      </c>
      <c r="L4784">
        <v>6168</v>
      </c>
      <c r="M4784" t="s">
        <v>5182</v>
      </c>
      <c r="N4784" t="str">
        <f>"248030203507"</f>
        <v>248030203507</v>
      </c>
      <c r="O4784" t="str">
        <f>"420503199611055226"</f>
        <v>420503199611055226</v>
      </c>
    </row>
    <row r="4785" customFormat="1" spans="1:15">
      <c r="A4785">
        <v>6169</v>
      </c>
      <c r="B4785" t="s">
        <v>694</v>
      </c>
      <c r="C4785" t="str">
        <f>"220502199609191428"</f>
        <v>220502199609191428</v>
      </c>
      <c r="D4785" t="str">
        <f>"248030301114"</f>
        <v>248030301114</v>
      </c>
      <c r="L4785">
        <v>6169</v>
      </c>
      <c r="M4785" t="s">
        <v>694</v>
      </c>
      <c r="N4785" t="str">
        <f>"248030301114"</f>
        <v>248030301114</v>
      </c>
      <c r="O4785" t="str">
        <f>"220502199609191428"</f>
        <v>220502199609191428</v>
      </c>
    </row>
    <row r="4786" customFormat="1" spans="1:15">
      <c r="A4786">
        <v>6170</v>
      </c>
      <c r="B4786" t="s">
        <v>5183</v>
      </c>
      <c r="C4786" t="str">
        <f>"511923199708293984"</f>
        <v>511923199708293984</v>
      </c>
      <c r="L4786">
        <v>6170</v>
      </c>
      <c r="M4786" t="s">
        <v>5183</v>
      </c>
      <c r="O4786" t="str">
        <f>"511923199708293984"</f>
        <v>511923199708293984</v>
      </c>
    </row>
    <row r="4787" customFormat="1" spans="1:15">
      <c r="A4787">
        <v>6171</v>
      </c>
      <c r="B4787" t="s">
        <v>5184</v>
      </c>
      <c r="C4787" t="str">
        <f>"469024199708202018"</f>
        <v>469024199708202018</v>
      </c>
      <c r="L4787">
        <v>6171</v>
      </c>
      <c r="M4787" t="s">
        <v>5184</v>
      </c>
      <c r="O4787" t="str">
        <f>"469024199708202018"</f>
        <v>469024199708202018</v>
      </c>
    </row>
    <row r="4788" customFormat="1" spans="1:15">
      <c r="A4788">
        <v>6172</v>
      </c>
      <c r="B4788" t="s">
        <v>5185</v>
      </c>
      <c r="C4788" t="str">
        <f>"460102199803160927"</f>
        <v>460102199803160927</v>
      </c>
      <c r="D4788" t="str">
        <f>"248030103009"</f>
        <v>248030103009</v>
      </c>
      <c r="L4788">
        <v>6172</v>
      </c>
      <c r="M4788" t="s">
        <v>5185</v>
      </c>
      <c r="N4788" t="str">
        <f>"248030103009"</f>
        <v>248030103009</v>
      </c>
      <c r="O4788" t="str">
        <f>"460102199803160927"</f>
        <v>460102199803160927</v>
      </c>
    </row>
    <row r="4789" customFormat="1" spans="1:15">
      <c r="A4789">
        <v>6173</v>
      </c>
      <c r="B4789" t="s">
        <v>5186</v>
      </c>
      <c r="C4789" t="str">
        <f>"460006200009042363"</f>
        <v>460006200009042363</v>
      </c>
      <c r="L4789">
        <v>6173</v>
      </c>
      <c r="M4789" t="s">
        <v>5186</v>
      </c>
      <c r="O4789" t="str">
        <f>"460006200009042363"</f>
        <v>460006200009042363</v>
      </c>
    </row>
    <row r="4790" customFormat="1" spans="1:15">
      <c r="A4790">
        <v>6174</v>
      </c>
      <c r="B4790" t="s">
        <v>5187</v>
      </c>
      <c r="C4790" t="str">
        <f>"460003200009157620"</f>
        <v>460003200009157620</v>
      </c>
      <c r="D4790" t="str">
        <f>"248030301226"</f>
        <v>248030301226</v>
      </c>
      <c r="L4790">
        <v>6174</v>
      </c>
      <c r="M4790" t="s">
        <v>5187</v>
      </c>
      <c r="N4790" t="str">
        <f>"248030301226"</f>
        <v>248030301226</v>
      </c>
      <c r="O4790" t="str">
        <f>"460003200009157620"</f>
        <v>460003200009157620</v>
      </c>
    </row>
    <row r="4791" customFormat="1" spans="1:15">
      <c r="A4791">
        <v>6175</v>
      </c>
      <c r="B4791" t="s">
        <v>5188</v>
      </c>
      <c r="C4791" t="str">
        <f>"500239199810237188"</f>
        <v>500239199810237188</v>
      </c>
      <c r="D4791" t="str">
        <f>"248030104120"</f>
        <v>248030104120</v>
      </c>
      <c r="L4791">
        <v>6175</v>
      </c>
      <c r="M4791" t="s">
        <v>5188</v>
      </c>
      <c r="N4791" t="str">
        <f>"248030104120"</f>
        <v>248030104120</v>
      </c>
      <c r="O4791" t="str">
        <f>"500239199810237188"</f>
        <v>500239199810237188</v>
      </c>
    </row>
    <row r="4792" customFormat="1" spans="1:15">
      <c r="A4792">
        <v>6176</v>
      </c>
      <c r="B4792" t="s">
        <v>5189</v>
      </c>
      <c r="C4792" t="str">
        <f>"460004199712210826"</f>
        <v>460004199712210826</v>
      </c>
      <c r="D4792" t="str">
        <f>"248030402603"</f>
        <v>248030402603</v>
      </c>
      <c r="L4792">
        <v>6176</v>
      </c>
      <c r="M4792" t="s">
        <v>5189</v>
      </c>
      <c r="N4792" t="str">
        <f>"248030402603"</f>
        <v>248030402603</v>
      </c>
      <c r="O4792" t="str">
        <f>"460004199712210826"</f>
        <v>460004199712210826</v>
      </c>
    </row>
    <row r="4793" customFormat="1" spans="1:15">
      <c r="A4793">
        <v>6177</v>
      </c>
      <c r="B4793" t="s">
        <v>5190</v>
      </c>
      <c r="C4793" t="str">
        <f>"440881199710083221"</f>
        <v>440881199710083221</v>
      </c>
      <c r="D4793" t="str">
        <f>"248030401325"</f>
        <v>248030401325</v>
      </c>
      <c r="L4793">
        <v>6177</v>
      </c>
      <c r="M4793" t="s">
        <v>5190</v>
      </c>
      <c r="N4793" t="str">
        <f>"248030401325"</f>
        <v>248030401325</v>
      </c>
      <c r="O4793" t="str">
        <f>"440881199710083221"</f>
        <v>440881199710083221</v>
      </c>
    </row>
    <row r="4794" customFormat="1" spans="1:15">
      <c r="A4794">
        <v>6178</v>
      </c>
      <c r="B4794" t="s">
        <v>726</v>
      </c>
      <c r="C4794" t="str">
        <f>"460003199507212885"</f>
        <v>460003199507212885</v>
      </c>
      <c r="D4794" t="str">
        <f>"248030403812"</f>
        <v>248030403812</v>
      </c>
      <c r="L4794">
        <v>6178</v>
      </c>
      <c r="M4794" t="s">
        <v>726</v>
      </c>
      <c r="N4794" t="str">
        <f>"248030403812"</f>
        <v>248030403812</v>
      </c>
      <c r="O4794" t="str">
        <f>"460003199507212885"</f>
        <v>460003199507212885</v>
      </c>
    </row>
    <row r="4795" customFormat="1" spans="1:15">
      <c r="A4795">
        <v>6179</v>
      </c>
      <c r="B4795" t="s">
        <v>352</v>
      </c>
      <c r="C4795" t="str">
        <f>"460032199701306182"</f>
        <v>460032199701306182</v>
      </c>
      <c r="D4795" t="str">
        <f>"248030302021"</f>
        <v>248030302021</v>
      </c>
      <c r="L4795">
        <v>6179</v>
      </c>
      <c r="M4795" t="s">
        <v>352</v>
      </c>
      <c r="N4795" t="str">
        <f>"248030302021"</f>
        <v>248030302021</v>
      </c>
      <c r="O4795" t="str">
        <f>"460032199701306182"</f>
        <v>460032199701306182</v>
      </c>
    </row>
    <row r="4796" customFormat="1" spans="1:15">
      <c r="A4796">
        <v>6180</v>
      </c>
      <c r="B4796" t="s">
        <v>5191</v>
      </c>
      <c r="C4796" t="str">
        <f>"460200199308123363"</f>
        <v>460200199308123363</v>
      </c>
      <c r="D4796" t="str">
        <f>"248030101520"</f>
        <v>248030101520</v>
      </c>
      <c r="L4796">
        <v>6180</v>
      </c>
      <c r="M4796" t="s">
        <v>5191</v>
      </c>
      <c r="N4796" t="str">
        <f>"248030101520"</f>
        <v>248030101520</v>
      </c>
      <c r="O4796" t="str">
        <f>"460200199308123363"</f>
        <v>460200199308123363</v>
      </c>
    </row>
    <row r="4797" customFormat="1" spans="1:15">
      <c r="A4797">
        <v>6181</v>
      </c>
      <c r="B4797" t="s">
        <v>5192</v>
      </c>
      <c r="C4797" t="str">
        <f>"460005200109131228"</f>
        <v>460005200109131228</v>
      </c>
      <c r="D4797" t="str">
        <f>"248030203022"</f>
        <v>248030203022</v>
      </c>
      <c r="L4797">
        <v>6181</v>
      </c>
      <c r="M4797" t="s">
        <v>5192</v>
      </c>
      <c r="N4797" t="str">
        <f>"248030203022"</f>
        <v>248030203022</v>
      </c>
      <c r="O4797" t="str">
        <f>"460005200109131228"</f>
        <v>460005200109131228</v>
      </c>
    </row>
    <row r="4798" customFormat="1" spans="1:15">
      <c r="A4798">
        <v>6182</v>
      </c>
      <c r="B4798" t="s">
        <v>5193</v>
      </c>
      <c r="C4798" t="str">
        <f>"460006199611087825"</f>
        <v>460006199611087825</v>
      </c>
      <c r="D4798" t="str">
        <f>"248030104223"</f>
        <v>248030104223</v>
      </c>
      <c r="L4798">
        <v>6182</v>
      </c>
      <c r="M4798" t="s">
        <v>5193</v>
      </c>
      <c r="N4798" t="str">
        <f>"248030104223"</f>
        <v>248030104223</v>
      </c>
      <c r="O4798" t="str">
        <f>"460006199611087825"</f>
        <v>460006199611087825</v>
      </c>
    </row>
    <row r="4799" customFormat="1" spans="1:15">
      <c r="A4799">
        <v>6183</v>
      </c>
      <c r="B4799" t="s">
        <v>5194</v>
      </c>
      <c r="C4799" t="str">
        <f>"445202200110250622"</f>
        <v>445202200110250622</v>
      </c>
      <c r="D4799" t="str">
        <f>"248030202827"</f>
        <v>248030202827</v>
      </c>
      <c r="L4799">
        <v>6183</v>
      </c>
      <c r="M4799" t="s">
        <v>5194</v>
      </c>
      <c r="N4799" t="str">
        <f>"248030202827"</f>
        <v>248030202827</v>
      </c>
      <c r="O4799" t="str">
        <f>"445202200110250622"</f>
        <v>445202200110250622</v>
      </c>
    </row>
    <row r="4800" customFormat="1" spans="1:15">
      <c r="A4800">
        <v>6184</v>
      </c>
      <c r="B4800" t="s">
        <v>5195</v>
      </c>
      <c r="C4800" t="str">
        <f>"460002200112206228"</f>
        <v>460002200112206228</v>
      </c>
      <c r="L4800">
        <v>6184</v>
      </c>
      <c r="M4800" t="s">
        <v>5195</v>
      </c>
      <c r="O4800" t="str">
        <f>"460002200112206228"</f>
        <v>460002200112206228</v>
      </c>
    </row>
    <row r="4801" customFormat="1" spans="1:15">
      <c r="A4801">
        <v>6185</v>
      </c>
      <c r="B4801" t="s">
        <v>5196</v>
      </c>
      <c r="C4801" t="str">
        <f>"460031200005010045"</f>
        <v>460031200005010045</v>
      </c>
      <c r="D4801" t="str">
        <f>"248030301103"</f>
        <v>248030301103</v>
      </c>
      <c r="L4801">
        <v>6185</v>
      </c>
      <c r="M4801" t="s">
        <v>5196</v>
      </c>
      <c r="N4801" t="str">
        <f>"248030301103"</f>
        <v>248030301103</v>
      </c>
      <c r="O4801" t="str">
        <f>"460031200005010045"</f>
        <v>460031200005010045</v>
      </c>
    </row>
    <row r="4802" customFormat="1" spans="1:15">
      <c r="A4802">
        <v>6186</v>
      </c>
      <c r="B4802" t="s">
        <v>5197</v>
      </c>
      <c r="C4802" t="str">
        <f>"460004199707250444"</f>
        <v>460004199707250444</v>
      </c>
      <c r="D4802" t="str">
        <f>"248030502216"</f>
        <v>248030502216</v>
      </c>
      <c r="L4802">
        <v>6186</v>
      </c>
      <c r="M4802" t="s">
        <v>5197</v>
      </c>
      <c r="N4802" t="str">
        <f>"248030502216"</f>
        <v>248030502216</v>
      </c>
      <c r="O4802" t="str">
        <f>"460004199707250444"</f>
        <v>460004199707250444</v>
      </c>
    </row>
    <row r="4803" customFormat="1" spans="1:15">
      <c r="A4803">
        <v>6188</v>
      </c>
      <c r="B4803" t="s">
        <v>5198</v>
      </c>
      <c r="C4803" t="str">
        <f>"460104199902060625"</f>
        <v>460104199902060625</v>
      </c>
      <c r="D4803" t="str">
        <f>"248030401416"</f>
        <v>248030401416</v>
      </c>
      <c r="L4803">
        <v>6188</v>
      </c>
      <c r="M4803" t="s">
        <v>5198</v>
      </c>
      <c r="N4803" t="str">
        <f>"248030401416"</f>
        <v>248030401416</v>
      </c>
      <c r="O4803" t="str">
        <f>"460104199902060625"</f>
        <v>460104199902060625</v>
      </c>
    </row>
    <row r="4804" customFormat="1" spans="1:15">
      <c r="A4804">
        <v>6189</v>
      </c>
      <c r="B4804" t="s">
        <v>5199</v>
      </c>
      <c r="C4804" t="str">
        <f>"460027200001041720"</f>
        <v>460027200001041720</v>
      </c>
      <c r="D4804" t="str">
        <f>"248030101403"</f>
        <v>248030101403</v>
      </c>
      <c r="L4804">
        <v>6189</v>
      </c>
      <c r="M4804" t="s">
        <v>5199</v>
      </c>
      <c r="N4804" t="str">
        <f>"248030101403"</f>
        <v>248030101403</v>
      </c>
      <c r="O4804" t="str">
        <f>"460027200001041720"</f>
        <v>460027200001041720</v>
      </c>
    </row>
    <row r="4805" customFormat="1" spans="1:15">
      <c r="A4805">
        <v>6190</v>
      </c>
      <c r="B4805" t="s">
        <v>5200</v>
      </c>
      <c r="C4805" t="str">
        <f>"460005199504282725"</f>
        <v>460005199504282725</v>
      </c>
      <c r="D4805" t="str">
        <f>"248030502124"</f>
        <v>248030502124</v>
      </c>
      <c r="L4805">
        <v>6190</v>
      </c>
      <c r="M4805" t="s">
        <v>5200</v>
      </c>
      <c r="N4805" t="str">
        <f>"248030502124"</f>
        <v>248030502124</v>
      </c>
      <c r="O4805" t="str">
        <f>"460005199504282725"</f>
        <v>460005199504282725</v>
      </c>
    </row>
    <row r="4806" customFormat="1" spans="1:15">
      <c r="A4806">
        <v>6191</v>
      </c>
      <c r="B4806" t="s">
        <v>5201</v>
      </c>
      <c r="C4806" t="str">
        <f>"460007200111240012"</f>
        <v>460007200111240012</v>
      </c>
      <c r="D4806" t="str">
        <f>"248030201703"</f>
        <v>248030201703</v>
      </c>
      <c r="L4806">
        <v>6191</v>
      </c>
      <c r="M4806" t="s">
        <v>5201</v>
      </c>
      <c r="N4806" t="str">
        <f>"248030201703"</f>
        <v>248030201703</v>
      </c>
      <c r="O4806" t="str">
        <f>"460007200111240012"</f>
        <v>460007200111240012</v>
      </c>
    </row>
    <row r="4807" customFormat="1" spans="1:15">
      <c r="A4807">
        <v>6192</v>
      </c>
      <c r="B4807" t="s">
        <v>5202</v>
      </c>
      <c r="C4807" t="str">
        <f>"460200200202180787"</f>
        <v>460200200202180787</v>
      </c>
      <c r="D4807" t="str">
        <f>"248030301825"</f>
        <v>248030301825</v>
      </c>
      <c r="L4807">
        <v>6192</v>
      </c>
      <c r="M4807" t="s">
        <v>5202</v>
      </c>
      <c r="N4807" t="str">
        <f>"248030301825"</f>
        <v>248030301825</v>
      </c>
      <c r="O4807" t="str">
        <f>"460200200202180787"</f>
        <v>460200200202180787</v>
      </c>
    </row>
    <row r="4808" customFormat="1" spans="1:15">
      <c r="A4808">
        <v>6193</v>
      </c>
      <c r="B4808" t="s">
        <v>5203</v>
      </c>
      <c r="C4808" t="str">
        <f>"460200199311233344"</f>
        <v>460200199311233344</v>
      </c>
      <c r="D4808" t="str">
        <f>"248030301409"</f>
        <v>248030301409</v>
      </c>
      <c r="L4808">
        <v>6193</v>
      </c>
      <c r="M4808" t="s">
        <v>5203</v>
      </c>
      <c r="N4808" t="str">
        <f>"248030301409"</f>
        <v>248030301409</v>
      </c>
      <c r="O4808" t="str">
        <f>"460200199311233344"</f>
        <v>460200199311233344</v>
      </c>
    </row>
    <row r="4809" customFormat="1" spans="1:15">
      <c r="A4809">
        <v>6194</v>
      </c>
      <c r="B4809" t="s">
        <v>5204</v>
      </c>
      <c r="C4809" t="str">
        <f>"460025200112200920"</f>
        <v>460025200112200920</v>
      </c>
      <c r="D4809" t="str">
        <f>"248030300205"</f>
        <v>248030300205</v>
      </c>
      <c r="L4809">
        <v>6194</v>
      </c>
      <c r="M4809" t="s">
        <v>5204</v>
      </c>
      <c r="N4809" t="str">
        <f>"248030300205"</f>
        <v>248030300205</v>
      </c>
      <c r="O4809" t="str">
        <f>"460025200112200920"</f>
        <v>460025200112200920</v>
      </c>
    </row>
    <row r="4810" customFormat="1" spans="1:15">
      <c r="A4810">
        <v>6195</v>
      </c>
      <c r="B4810" t="s">
        <v>5205</v>
      </c>
      <c r="C4810" t="str">
        <f>"46902619971028561X"</f>
        <v>46902619971028561X</v>
      </c>
      <c r="D4810" t="str">
        <f>"248030301005"</f>
        <v>248030301005</v>
      </c>
      <c r="L4810">
        <v>6195</v>
      </c>
      <c r="M4810" t="s">
        <v>5205</v>
      </c>
      <c r="N4810" t="str">
        <f>"248030301005"</f>
        <v>248030301005</v>
      </c>
      <c r="O4810" t="str">
        <f>"46902619971028561X"</f>
        <v>46902619971028561X</v>
      </c>
    </row>
    <row r="4811" customFormat="1" spans="1:15">
      <c r="A4811">
        <v>6196</v>
      </c>
      <c r="B4811" t="s">
        <v>5206</v>
      </c>
      <c r="C4811" t="str">
        <f>"469003199612095623"</f>
        <v>469003199612095623</v>
      </c>
      <c r="L4811">
        <v>6196</v>
      </c>
      <c r="M4811" t="s">
        <v>5206</v>
      </c>
      <c r="O4811" t="str">
        <f>"469003199612095623"</f>
        <v>469003199612095623</v>
      </c>
    </row>
    <row r="4812" customFormat="1" spans="1:15">
      <c r="A4812">
        <v>6197</v>
      </c>
      <c r="B4812" t="s">
        <v>5207</v>
      </c>
      <c r="C4812" t="str">
        <f>"460022199205122728"</f>
        <v>460022199205122728</v>
      </c>
      <c r="D4812" t="str">
        <f>"248030200317"</f>
        <v>248030200317</v>
      </c>
      <c r="L4812">
        <v>6197</v>
      </c>
      <c r="M4812" t="s">
        <v>5207</v>
      </c>
      <c r="N4812" t="str">
        <f>"248030200317"</f>
        <v>248030200317</v>
      </c>
      <c r="O4812" t="str">
        <f>"460022199205122728"</f>
        <v>460022199205122728</v>
      </c>
    </row>
    <row r="4813" customFormat="1" spans="1:15">
      <c r="A4813">
        <v>6198</v>
      </c>
      <c r="B4813" t="s">
        <v>5208</v>
      </c>
      <c r="C4813" t="str">
        <f>"460005199805224529"</f>
        <v>460005199805224529</v>
      </c>
      <c r="D4813" t="str">
        <f>"248030401723"</f>
        <v>248030401723</v>
      </c>
      <c r="L4813">
        <v>6198</v>
      </c>
      <c r="M4813" t="s">
        <v>5208</v>
      </c>
      <c r="N4813" t="str">
        <f>"248030401723"</f>
        <v>248030401723</v>
      </c>
      <c r="O4813" t="str">
        <f>"460005199805224529"</f>
        <v>460005199805224529</v>
      </c>
    </row>
    <row r="4814" customFormat="1" spans="1:15">
      <c r="A4814">
        <v>6200</v>
      </c>
      <c r="B4814" t="s">
        <v>5209</v>
      </c>
      <c r="C4814" t="str">
        <f>"460106200108155027"</f>
        <v>460106200108155027</v>
      </c>
      <c r="D4814" t="str">
        <f>"248030503826"</f>
        <v>248030503826</v>
      </c>
      <c r="L4814">
        <v>6200</v>
      </c>
      <c r="M4814" t="s">
        <v>5209</v>
      </c>
      <c r="N4814" t="str">
        <f>"248030503826"</f>
        <v>248030503826</v>
      </c>
      <c r="O4814" t="str">
        <f>"460106200108155027"</f>
        <v>460106200108155027</v>
      </c>
    </row>
    <row r="4815" customFormat="1" spans="1:15">
      <c r="A4815">
        <v>6201</v>
      </c>
      <c r="B4815" t="s">
        <v>5210</v>
      </c>
      <c r="C4815" t="str">
        <f>"460106199608084127"</f>
        <v>460106199608084127</v>
      </c>
      <c r="D4815" t="str">
        <f>"248030501710"</f>
        <v>248030501710</v>
      </c>
      <c r="L4815">
        <v>6201</v>
      </c>
      <c r="M4815" t="s">
        <v>5210</v>
      </c>
      <c r="N4815" t="str">
        <f>"248030501710"</f>
        <v>248030501710</v>
      </c>
      <c r="O4815" t="str">
        <f>"460106199608084127"</f>
        <v>460106199608084127</v>
      </c>
    </row>
    <row r="4816" customFormat="1" spans="1:15">
      <c r="A4816">
        <v>6202</v>
      </c>
      <c r="B4816" t="s">
        <v>5211</v>
      </c>
      <c r="C4816" t="str">
        <f>"460200199101201686"</f>
        <v>460200199101201686</v>
      </c>
      <c r="D4816" t="str">
        <f>"248030200606"</f>
        <v>248030200606</v>
      </c>
      <c r="L4816">
        <v>6202</v>
      </c>
      <c r="M4816" t="s">
        <v>5211</v>
      </c>
      <c r="N4816" t="str">
        <f>"248030200606"</f>
        <v>248030200606</v>
      </c>
      <c r="O4816" t="str">
        <f>"460200199101201686"</f>
        <v>460200199101201686</v>
      </c>
    </row>
    <row r="4817" customFormat="1" spans="1:15">
      <c r="A4817">
        <v>6203</v>
      </c>
      <c r="B4817" t="s">
        <v>5212</v>
      </c>
      <c r="C4817" t="str">
        <f>"46010219991008152X"</f>
        <v>46010219991008152X</v>
      </c>
      <c r="L4817">
        <v>6203</v>
      </c>
      <c r="M4817" t="s">
        <v>5212</v>
      </c>
      <c r="O4817" t="str">
        <f>"46010219991008152X"</f>
        <v>46010219991008152X</v>
      </c>
    </row>
    <row r="4818" customFormat="1" spans="1:15">
      <c r="A4818">
        <v>6204</v>
      </c>
      <c r="B4818" t="s">
        <v>5213</v>
      </c>
      <c r="C4818" t="str">
        <f>"469023200108080626"</f>
        <v>469023200108080626</v>
      </c>
      <c r="D4818" t="str">
        <f>"248030301627"</f>
        <v>248030301627</v>
      </c>
      <c r="L4818">
        <v>6204</v>
      </c>
      <c r="M4818" t="s">
        <v>5213</v>
      </c>
      <c r="N4818" t="str">
        <f>"248030301627"</f>
        <v>248030301627</v>
      </c>
      <c r="O4818" t="str">
        <f>"469023200108080626"</f>
        <v>469023200108080626</v>
      </c>
    </row>
    <row r="4819" customFormat="1" spans="1:15">
      <c r="A4819">
        <v>6205</v>
      </c>
      <c r="B4819" t="s">
        <v>5214</v>
      </c>
      <c r="C4819" t="str">
        <f>"46003319990624484X"</f>
        <v>46003319990624484X</v>
      </c>
      <c r="D4819" t="str">
        <f>"248030502421"</f>
        <v>248030502421</v>
      </c>
      <c r="L4819">
        <v>6205</v>
      </c>
      <c r="M4819" t="s">
        <v>5214</v>
      </c>
      <c r="N4819" t="str">
        <f>"248030502421"</f>
        <v>248030502421</v>
      </c>
      <c r="O4819" t="str">
        <f>"46003319990624484X"</f>
        <v>46003319990624484X</v>
      </c>
    </row>
    <row r="4820" customFormat="1" spans="1:15">
      <c r="A4820">
        <v>6206</v>
      </c>
      <c r="B4820" t="s">
        <v>5215</v>
      </c>
      <c r="C4820" t="str">
        <f>"460007199908254387"</f>
        <v>460007199908254387</v>
      </c>
      <c r="D4820" t="str">
        <f>"248030200814"</f>
        <v>248030200814</v>
      </c>
      <c r="L4820">
        <v>6206</v>
      </c>
      <c r="M4820" t="s">
        <v>5215</v>
      </c>
      <c r="N4820" t="str">
        <f>"248030200814"</f>
        <v>248030200814</v>
      </c>
      <c r="O4820" t="str">
        <f>"460007199908254387"</f>
        <v>460007199908254387</v>
      </c>
    </row>
    <row r="4821" customFormat="1" spans="1:15">
      <c r="A4821">
        <v>6207</v>
      </c>
      <c r="B4821" t="s">
        <v>5216</v>
      </c>
      <c r="C4821" t="str">
        <f>"412824199905125187"</f>
        <v>412824199905125187</v>
      </c>
      <c r="D4821" t="str">
        <f>"248030500716"</f>
        <v>248030500716</v>
      </c>
      <c r="L4821">
        <v>6207</v>
      </c>
      <c r="M4821" t="s">
        <v>5216</v>
      </c>
      <c r="N4821" t="str">
        <f>"248030500716"</f>
        <v>248030500716</v>
      </c>
      <c r="O4821" t="str">
        <f>"412824199905125187"</f>
        <v>412824199905125187</v>
      </c>
    </row>
    <row r="4822" customFormat="1" spans="1:15">
      <c r="A4822">
        <v>6208</v>
      </c>
      <c r="B4822" t="s">
        <v>5217</v>
      </c>
      <c r="C4822" t="str">
        <f>"460035200010300923"</f>
        <v>460035200010300923</v>
      </c>
      <c r="D4822" t="str">
        <f>"248030103326"</f>
        <v>248030103326</v>
      </c>
      <c r="L4822">
        <v>6208</v>
      </c>
      <c r="M4822" t="s">
        <v>5217</v>
      </c>
      <c r="N4822" t="str">
        <f>"248030103326"</f>
        <v>248030103326</v>
      </c>
      <c r="O4822" t="str">
        <f>"460035200010300923"</f>
        <v>460035200010300923</v>
      </c>
    </row>
    <row r="4823" customFormat="1" spans="1:15">
      <c r="A4823">
        <v>6209</v>
      </c>
      <c r="B4823" t="s">
        <v>5218</v>
      </c>
      <c r="C4823" t="str">
        <f>"460028199706080421"</f>
        <v>460028199706080421</v>
      </c>
      <c r="D4823" t="str">
        <f>"248030302004"</f>
        <v>248030302004</v>
      </c>
      <c r="L4823">
        <v>6209</v>
      </c>
      <c r="M4823" t="s">
        <v>5218</v>
      </c>
      <c r="N4823" t="str">
        <f>"248030302004"</f>
        <v>248030302004</v>
      </c>
      <c r="O4823" t="str">
        <f>"460028199706080421"</f>
        <v>460028199706080421</v>
      </c>
    </row>
    <row r="4824" customFormat="1" spans="1:15">
      <c r="A4824">
        <v>6211</v>
      </c>
      <c r="B4824" t="s">
        <v>5219</v>
      </c>
      <c r="C4824" t="str">
        <f>"460003199908193419"</f>
        <v>460003199908193419</v>
      </c>
      <c r="D4824" t="str">
        <f>"248030201905"</f>
        <v>248030201905</v>
      </c>
      <c r="L4824">
        <v>6211</v>
      </c>
      <c r="M4824" t="s">
        <v>5219</v>
      </c>
      <c r="N4824" t="str">
        <f>"248030201905"</f>
        <v>248030201905</v>
      </c>
      <c r="O4824" t="str">
        <f>"460003199908193419"</f>
        <v>460003199908193419</v>
      </c>
    </row>
    <row r="4825" customFormat="1" spans="1:15">
      <c r="A4825">
        <v>6212</v>
      </c>
      <c r="B4825" t="s">
        <v>4002</v>
      </c>
      <c r="C4825" t="str">
        <f>"460032199602066179"</f>
        <v>460032199602066179</v>
      </c>
      <c r="D4825" t="str">
        <f>"248030200624"</f>
        <v>248030200624</v>
      </c>
      <c r="L4825">
        <v>6212</v>
      </c>
      <c r="M4825" t="s">
        <v>4002</v>
      </c>
      <c r="N4825" t="str">
        <f>"248030200624"</f>
        <v>248030200624</v>
      </c>
      <c r="O4825" t="str">
        <f>"460032199602066179"</f>
        <v>460032199602066179</v>
      </c>
    </row>
    <row r="4826" customFormat="1" spans="1:15">
      <c r="A4826">
        <v>6213</v>
      </c>
      <c r="B4826" t="s">
        <v>5220</v>
      </c>
      <c r="C4826" t="str">
        <f>"460200199510121409"</f>
        <v>460200199510121409</v>
      </c>
      <c r="L4826">
        <v>6213</v>
      </c>
      <c r="M4826" t="s">
        <v>5220</v>
      </c>
      <c r="O4826" t="str">
        <f>"460200199510121409"</f>
        <v>460200199510121409</v>
      </c>
    </row>
    <row r="4827" customFormat="1" spans="1:15">
      <c r="A4827">
        <v>6214</v>
      </c>
      <c r="B4827" t="s">
        <v>5221</v>
      </c>
      <c r="C4827" t="str">
        <f>"460004199002195828"</f>
        <v>460004199002195828</v>
      </c>
      <c r="D4827" t="str">
        <f>"248030101402"</f>
        <v>248030101402</v>
      </c>
      <c r="L4827">
        <v>6214</v>
      </c>
      <c r="M4827" t="s">
        <v>5221</v>
      </c>
      <c r="N4827" t="str">
        <f>"248030101402"</f>
        <v>248030101402</v>
      </c>
      <c r="O4827" t="str">
        <f>"460004199002195828"</f>
        <v>460004199002195828</v>
      </c>
    </row>
    <row r="4828" customFormat="1" spans="1:15">
      <c r="A4828">
        <v>6215</v>
      </c>
      <c r="B4828" t="s">
        <v>5222</v>
      </c>
      <c r="C4828" t="str">
        <f>"46000319950825282X"</f>
        <v>46000319950825282X</v>
      </c>
      <c r="D4828" t="str">
        <f>"248030503316"</f>
        <v>248030503316</v>
      </c>
      <c r="L4828">
        <v>6215</v>
      </c>
      <c r="M4828" t="s">
        <v>5222</v>
      </c>
      <c r="N4828" t="str">
        <f>"248030503316"</f>
        <v>248030503316</v>
      </c>
      <c r="O4828" t="str">
        <f>"46000319950825282X"</f>
        <v>46000319950825282X</v>
      </c>
    </row>
    <row r="4829" customFormat="1" spans="1:15">
      <c r="A4829">
        <v>6216</v>
      </c>
      <c r="B4829" t="s">
        <v>16</v>
      </c>
      <c r="C4829" t="str">
        <f>"460007199805055369"</f>
        <v>460007199805055369</v>
      </c>
      <c r="D4829" t="str">
        <f>"248030401615"</f>
        <v>248030401615</v>
      </c>
      <c r="L4829">
        <v>6216</v>
      </c>
      <c r="M4829" t="s">
        <v>16</v>
      </c>
      <c r="N4829" t="str">
        <f>"248030401615"</f>
        <v>248030401615</v>
      </c>
      <c r="O4829" t="str">
        <f>"460007199805055369"</f>
        <v>460007199805055369</v>
      </c>
    </row>
    <row r="4830" customFormat="1" spans="1:15">
      <c r="A4830">
        <v>6217</v>
      </c>
      <c r="B4830" t="s">
        <v>458</v>
      </c>
      <c r="C4830" t="str">
        <f>"460027199608190401"</f>
        <v>460027199608190401</v>
      </c>
      <c r="D4830" t="str">
        <f>"248030401410"</f>
        <v>248030401410</v>
      </c>
      <c r="L4830">
        <v>6217</v>
      </c>
      <c r="M4830" t="s">
        <v>458</v>
      </c>
      <c r="N4830" t="str">
        <f>"248030401410"</f>
        <v>248030401410</v>
      </c>
      <c r="O4830" t="str">
        <f>"460027199608190401"</f>
        <v>460027199608190401</v>
      </c>
    </row>
    <row r="4831" customFormat="1" spans="1:15">
      <c r="A4831">
        <v>6218</v>
      </c>
      <c r="B4831" t="s">
        <v>5223</v>
      </c>
      <c r="C4831" t="str">
        <f>"460025199805061243"</f>
        <v>460025199805061243</v>
      </c>
      <c r="L4831">
        <v>6218</v>
      </c>
      <c r="M4831" t="s">
        <v>5223</v>
      </c>
      <c r="O4831" t="str">
        <f>"460025199805061243"</f>
        <v>460025199805061243</v>
      </c>
    </row>
    <row r="4832" customFormat="1" spans="1:15">
      <c r="A4832">
        <v>6219</v>
      </c>
      <c r="B4832" t="s">
        <v>5224</v>
      </c>
      <c r="C4832" t="str">
        <f>"13042919970708248X"</f>
        <v>13042919970708248X</v>
      </c>
      <c r="D4832" t="str">
        <f>"248030403022"</f>
        <v>248030403022</v>
      </c>
      <c r="L4832">
        <v>6219</v>
      </c>
      <c r="M4832" t="s">
        <v>5224</v>
      </c>
      <c r="N4832" t="str">
        <f>"248030403022"</f>
        <v>248030403022</v>
      </c>
      <c r="O4832" t="str">
        <f>"13042919970708248X"</f>
        <v>13042919970708248X</v>
      </c>
    </row>
    <row r="4833" customFormat="1" spans="1:15">
      <c r="A4833">
        <v>6220</v>
      </c>
      <c r="B4833" t="s">
        <v>5225</v>
      </c>
      <c r="C4833" t="str">
        <f>"460027199809085122"</f>
        <v>460027199809085122</v>
      </c>
      <c r="D4833" t="str">
        <f>"248030401102"</f>
        <v>248030401102</v>
      </c>
      <c r="L4833">
        <v>6220</v>
      </c>
      <c r="M4833" t="s">
        <v>5225</v>
      </c>
      <c r="N4833" t="str">
        <f>"248030401102"</f>
        <v>248030401102</v>
      </c>
      <c r="O4833" t="str">
        <f>"460027199809085122"</f>
        <v>460027199809085122</v>
      </c>
    </row>
    <row r="4834" customFormat="1" spans="1:15">
      <c r="A4834">
        <v>6221</v>
      </c>
      <c r="B4834" t="s">
        <v>5226</v>
      </c>
      <c r="C4834" t="str">
        <f>"460027200301176221"</f>
        <v>460027200301176221</v>
      </c>
      <c r="D4834" t="str">
        <f>"248030402925"</f>
        <v>248030402925</v>
      </c>
      <c r="L4834">
        <v>6221</v>
      </c>
      <c r="M4834" t="s">
        <v>5226</v>
      </c>
      <c r="N4834" t="str">
        <f>"248030402925"</f>
        <v>248030402925</v>
      </c>
      <c r="O4834" t="str">
        <f>"460027200301176221"</f>
        <v>460027200301176221</v>
      </c>
    </row>
    <row r="4835" customFormat="1" spans="1:15">
      <c r="A4835">
        <v>6222</v>
      </c>
      <c r="B4835" t="s">
        <v>5227</v>
      </c>
      <c r="C4835" t="str">
        <f>"460033199406083242"</f>
        <v>460033199406083242</v>
      </c>
      <c r="D4835" t="str">
        <f>"248030402103"</f>
        <v>248030402103</v>
      </c>
      <c r="L4835">
        <v>6222</v>
      </c>
      <c r="M4835" t="s">
        <v>5227</v>
      </c>
      <c r="N4835" t="str">
        <f>"248030402103"</f>
        <v>248030402103</v>
      </c>
      <c r="O4835" t="str">
        <f>"460033199406083242"</f>
        <v>460033199406083242</v>
      </c>
    </row>
    <row r="4836" customFormat="1" spans="1:15">
      <c r="A4836">
        <v>6223</v>
      </c>
      <c r="B4836" t="s">
        <v>5228</v>
      </c>
      <c r="C4836" t="str">
        <f>"469007199609288526"</f>
        <v>469007199609288526</v>
      </c>
      <c r="D4836" t="str">
        <f>"248030401412"</f>
        <v>248030401412</v>
      </c>
      <c r="L4836">
        <v>6223</v>
      </c>
      <c r="M4836" t="s">
        <v>5228</v>
      </c>
      <c r="N4836" t="str">
        <f>"248030401412"</f>
        <v>248030401412</v>
      </c>
      <c r="O4836" t="str">
        <f>"469007199609288526"</f>
        <v>469007199609288526</v>
      </c>
    </row>
    <row r="4837" customFormat="1" spans="1:15">
      <c r="A4837">
        <v>6225</v>
      </c>
      <c r="B4837" t="s">
        <v>5229</v>
      </c>
      <c r="C4837" t="str">
        <f>"460027199805291340"</f>
        <v>460027199805291340</v>
      </c>
      <c r="L4837">
        <v>6225</v>
      </c>
      <c r="M4837" t="s">
        <v>5229</v>
      </c>
      <c r="O4837" t="str">
        <f>"460027199805291340"</f>
        <v>460027199805291340</v>
      </c>
    </row>
    <row r="4838" customFormat="1" spans="1:15">
      <c r="A4838">
        <v>6226</v>
      </c>
      <c r="B4838" t="s">
        <v>5230</v>
      </c>
      <c r="C4838" t="str">
        <f>"46010220020702182X"</f>
        <v>46010220020702182X</v>
      </c>
      <c r="D4838" t="str">
        <f>"248030300518"</f>
        <v>248030300518</v>
      </c>
      <c r="L4838">
        <v>6226</v>
      </c>
      <c r="M4838" t="s">
        <v>5230</v>
      </c>
      <c r="N4838" t="str">
        <f>"248030300518"</f>
        <v>248030300518</v>
      </c>
      <c r="O4838" t="str">
        <f>"46010220020702182X"</f>
        <v>46010220020702182X</v>
      </c>
    </row>
    <row r="4839" customFormat="1" spans="1:15">
      <c r="A4839">
        <v>6227</v>
      </c>
      <c r="B4839" t="s">
        <v>5231</v>
      </c>
      <c r="C4839" t="str">
        <f>"46000620010518162X"</f>
        <v>46000620010518162X</v>
      </c>
      <c r="D4839" t="str">
        <f>"248030302509"</f>
        <v>248030302509</v>
      </c>
      <c r="L4839">
        <v>6227</v>
      </c>
      <c r="M4839" t="s">
        <v>5231</v>
      </c>
      <c r="N4839" t="str">
        <f>"248030302509"</f>
        <v>248030302509</v>
      </c>
      <c r="O4839" t="str">
        <f>"46000620010518162X"</f>
        <v>46000620010518162X</v>
      </c>
    </row>
    <row r="4840" customFormat="1" spans="1:15">
      <c r="A4840">
        <v>6228</v>
      </c>
      <c r="B4840" t="s">
        <v>1162</v>
      </c>
      <c r="C4840" t="str">
        <f>"460025199705244827"</f>
        <v>460025199705244827</v>
      </c>
      <c r="D4840" t="str">
        <f>"248030500707"</f>
        <v>248030500707</v>
      </c>
      <c r="L4840">
        <v>6228</v>
      </c>
      <c r="M4840" t="s">
        <v>1162</v>
      </c>
      <c r="N4840" t="str">
        <f>"248030500707"</f>
        <v>248030500707</v>
      </c>
      <c r="O4840" t="str">
        <f>"460025199705244827"</f>
        <v>460025199705244827</v>
      </c>
    </row>
    <row r="4841" customFormat="1" spans="1:15">
      <c r="A4841">
        <v>6229</v>
      </c>
      <c r="B4841" t="s">
        <v>5232</v>
      </c>
      <c r="C4841" t="str">
        <f>"460102199911242129"</f>
        <v>460102199911242129</v>
      </c>
      <c r="D4841" t="str">
        <f>"248030200504"</f>
        <v>248030200504</v>
      </c>
      <c r="L4841">
        <v>6229</v>
      </c>
      <c r="M4841" t="s">
        <v>5232</v>
      </c>
      <c r="N4841" t="str">
        <f>"248030200504"</f>
        <v>248030200504</v>
      </c>
      <c r="O4841" t="str">
        <f>"460102199911242129"</f>
        <v>460102199911242129</v>
      </c>
    </row>
    <row r="4842" customFormat="1" spans="1:15">
      <c r="A4842">
        <v>6230</v>
      </c>
      <c r="B4842" t="s">
        <v>5233</v>
      </c>
      <c r="C4842" t="str">
        <f>"460033198907013221"</f>
        <v>460033198907013221</v>
      </c>
      <c r="L4842">
        <v>6230</v>
      </c>
      <c r="M4842" t="s">
        <v>5233</v>
      </c>
      <c r="O4842" t="str">
        <f>"460033198907013221"</f>
        <v>460033198907013221</v>
      </c>
    </row>
    <row r="4843" customFormat="1" spans="1:15">
      <c r="A4843">
        <v>6231</v>
      </c>
      <c r="B4843" t="s">
        <v>5234</v>
      </c>
      <c r="C4843" t="str">
        <f>"460035199009152120"</f>
        <v>460035199009152120</v>
      </c>
      <c r="D4843" t="str">
        <f>"248030300602"</f>
        <v>248030300602</v>
      </c>
      <c r="L4843">
        <v>6231</v>
      </c>
      <c r="M4843" t="s">
        <v>5234</v>
      </c>
      <c r="N4843" t="str">
        <f>"248030300602"</f>
        <v>248030300602</v>
      </c>
      <c r="O4843" t="str">
        <f>"460035199009152120"</f>
        <v>460035199009152120</v>
      </c>
    </row>
    <row r="4844" customFormat="1" spans="1:15">
      <c r="A4844">
        <v>6232</v>
      </c>
      <c r="B4844" t="s">
        <v>5235</v>
      </c>
      <c r="C4844" t="str">
        <f>"440882199709215764"</f>
        <v>440882199709215764</v>
      </c>
      <c r="L4844">
        <v>6232</v>
      </c>
      <c r="M4844" t="s">
        <v>5235</v>
      </c>
      <c r="O4844" t="str">
        <f>"440882199709215764"</f>
        <v>440882199709215764</v>
      </c>
    </row>
    <row r="4845" customFormat="1" spans="1:15">
      <c r="A4845">
        <v>6234</v>
      </c>
      <c r="B4845" t="s">
        <v>5236</v>
      </c>
      <c r="C4845" t="str">
        <f>"460026199803122723"</f>
        <v>460026199803122723</v>
      </c>
      <c r="D4845" t="str">
        <f>"248030201818"</f>
        <v>248030201818</v>
      </c>
      <c r="L4845">
        <v>6234</v>
      </c>
      <c r="M4845" t="s">
        <v>5236</v>
      </c>
      <c r="N4845" t="str">
        <f>"248030201818"</f>
        <v>248030201818</v>
      </c>
      <c r="O4845" t="str">
        <f>"460026199803122723"</f>
        <v>460026199803122723</v>
      </c>
    </row>
    <row r="4846" customFormat="1" spans="1:15">
      <c r="A4846">
        <v>6235</v>
      </c>
      <c r="B4846" t="s">
        <v>5237</v>
      </c>
      <c r="C4846" t="str">
        <f>"460003200004126614"</f>
        <v>460003200004126614</v>
      </c>
      <c r="D4846" t="str">
        <f>"248030301230"</f>
        <v>248030301230</v>
      </c>
      <c r="L4846">
        <v>6235</v>
      </c>
      <c r="M4846" t="s">
        <v>5237</v>
      </c>
      <c r="N4846" t="str">
        <f>"248030301230"</f>
        <v>248030301230</v>
      </c>
      <c r="O4846" t="str">
        <f>"460003200004126614"</f>
        <v>460003200004126614</v>
      </c>
    </row>
    <row r="4847" customFormat="1" spans="1:15">
      <c r="A4847">
        <v>6236</v>
      </c>
      <c r="B4847" t="s">
        <v>5238</v>
      </c>
      <c r="C4847" t="str">
        <f>"441422200112283420"</f>
        <v>441422200112283420</v>
      </c>
      <c r="D4847" t="str">
        <f>"248030100108"</f>
        <v>248030100108</v>
      </c>
      <c r="L4847">
        <v>6236</v>
      </c>
      <c r="M4847" t="s">
        <v>5238</v>
      </c>
      <c r="N4847" t="str">
        <f>"248030100108"</f>
        <v>248030100108</v>
      </c>
      <c r="O4847" t="str">
        <f>"441422200112283420"</f>
        <v>441422200112283420</v>
      </c>
    </row>
    <row r="4848" customFormat="1" spans="1:15">
      <c r="A4848">
        <v>6237</v>
      </c>
      <c r="B4848" t="s">
        <v>5239</v>
      </c>
      <c r="C4848" t="str">
        <f>"460004199303310025"</f>
        <v>460004199303310025</v>
      </c>
      <c r="D4848" t="str">
        <f>"248030501828"</f>
        <v>248030501828</v>
      </c>
      <c r="L4848">
        <v>6237</v>
      </c>
      <c r="M4848" t="s">
        <v>5239</v>
      </c>
      <c r="N4848" t="str">
        <f>"248030501828"</f>
        <v>248030501828</v>
      </c>
      <c r="O4848" t="str">
        <f>"460004199303310025"</f>
        <v>460004199303310025</v>
      </c>
    </row>
    <row r="4849" customFormat="1" spans="1:15">
      <c r="A4849">
        <v>6240</v>
      </c>
      <c r="B4849" t="s">
        <v>664</v>
      </c>
      <c r="C4849" t="str">
        <f>"411522200003264829"</f>
        <v>411522200003264829</v>
      </c>
      <c r="D4849" t="str">
        <f>"248030103015"</f>
        <v>248030103015</v>
      </c>
      <c r="L4849">
        <v>6240</v>
      </c>
      <c r="M4849" t="s">
        <v>664</v>
      </c>
      <c r="N4849" t="str">
        <f>"248030103015"</f>
        <v>248030103015</v>
      </c>
      <c r="O4849" t="str">
        <f>"411522200003264829"</f>
        <v>411522200003264829</v>
      </c>
    </row>
    <row r="4850" customFormat="1" spans="1:15">
      <c r="A4850">
        <v>6241</v>
      </c>
      <c r="B4850" t="s">
        <v>5240</v>
      </c>
      <c r="C4850" t="str">
        <f>"652302200011030028"</f>
        <v>652302200011030028</v>
      </c>
      <c r="D4850" t="str">
        <f>"248030501808"</f>
        <v>248030501808</v>
      </c>
      <c r="L4850">
        <v>6241</v>
      </c>
      <c r="M4850" t="s">
        <v>5240</v>
      </c>
      <c r="N4850" t="str">
        <f>"248030501808"</f>
        <v>248030501808</v>
      </c>
      <c r="O4850" t="str">
        <f>"652302200011030028"</f>
        <v>652302200011030028</v>
      </c>
    </row>
    <row r="4851" customFormat="1" spans="1:15">
      <c r="A4851">
        <v>6242</v>
      </c>
      <c r="B4851" t="s">
        <v>5241</v>
      </c>
      <c r="C4851" t="str">
        <f>"46902319970301592X"</f>
        <v>46902319970301592X</v>
      </c>
      <c r="D4851" t="str">
        <f>"248030401317"</f>
        <v>248030401317</v>
      </c>
      <c r="L4851">
        <v>6242</v>
      </c>
      <c r="M4851" t="s">
        <v>5241</v>
      </c>
      <c r="N4851" t="str">
        <f>"248030401317"</f>
        <v>248030401317</v>
      </c>
      <c r="O4851" t="str">
        <f>"46902319970301592X"</f>
        <v>46902319970301592X</v>
      </c>
    </row>
    <row r="4852" customFormat="1" spans="1:15">
      <c r="A4852">
        <v>6243</v>
      </c>
      <c r="B4852" t="s">
        <v>5242</v>
      </c>
      <c r="C4852" t="str">
        <f>"460033200011013210"</f>
        <v>460033200011013210</v>
      </c>
      <c r="D4852" t="str">
        <f>"248030103714"</f>
        <v>248030103714</v>
      </c>
      <c r="L4852">
        <v>6243</v>
      </c>
      <c r="M4852" t="s">
        <v>5242</v>
      </c>
      <c r="N4852" t="str">
        <f>"248030103714"</f>
        <v>248030103714</v>
      </c>
      <c r="O4852" t="str">
        <f>"460033200011013210"</f>
        <v>460033200011013210</v>
      </c>
    </row>
    <row r="4853" customFormat="1" spans="1:15">
      <c r="A4853">
        <v>6244</v>
      </c>
      <c r="B4853" t="s">
        <v>5243</v>
      </c>
      <c r="C4853" t="str">
        <f>"460007199812027227"</f>
        <v>460007199812027227</v>
      </c>
      <c r="D4853" t="str">
        <f>"248030101517"</f>
        <v>248030101517</v>
      </c>
      <c r="L4853">
        <v>6244</v>
      </c>
      <c r="M4853" t="s">
        <v>5243</v>
      </c>
      <c r="N4853" t="str">
        <f>"248030101517"</f>
        <v>248030101517</v>
      </c>
      <c r="O4853" t="str">
        <f>"460007199812027227"</f>
        <v>460007199812027227</v>
      </c>
    </row>
    <row r="4854" customFormat="1" spans="1:15">
      <c r="A4854">
        <v>6245</v>
      </c>
      <c r="B4854" t="s">
        <v>5244</v>
      </c>
      <c r="C4854" t="str">
        <f>"460200199208134022"</f>
        <v>460200199208134022</v>
      </c>
      <c r="D4854" t="str">
        <f>"248030502608"</f>
        <v>248030502608</v>
      </c>
      <c r="L4854">
        <v>6245</v>
      </c>
      <c r="M4854" t="s">
        <v>5244</v>
      </c>
      <c r="N4854" t="str">
        <f>"248030502608"</f>
        <v>248030502608</v>
      </c>
      <c r="O4854" t="str">
        <f>"460200199208134022"</f>
        <v>460200199208134022</v>
      </c>
    </row>
    <row r="4855" customFormat="1" spans="1:15">
      <c r="A4855">
        <v>6246</v>
      </c>
      <c r="B4855" t="s">
        <v>5245</v>
      </c>
      <c r="C4855" t="str">
        <f>"460003199309162223"</f>
        <v>460003199309162223</v>
      </c>
      <c r="L4855">
        <v>6246</v>
      </c>
      <c r="M4855" t="s">
        <v>5245</v>
      </c>
      <c r="O4855" t="str">
        <f>"460003199309162223"</f>
        <v>460003199309162223</v>
      </c>
    </row>
    <row r="4856" customFormat="1" spans="1:15">
      <c r="A4856">
        <v>6247</v>
      </c>
      <c r="B4856" t="s">
        <v>5246</v>
      </c>
      <c r="C4856" t="str">
        <f>"460003199908221627"</f>
        <v>460003199908221627</v>
      </c>
      <c r="D4856" t="str">
        <f>"248030403728"</f>
        <v>248030403728</v>
      </c>
      <c r="L4856">
        <v>6247</v>
      </c>
      <c r="M4856" t="s">
        <v>5246</v>
      </c>
      <c r="N4856" t="str">
        <f>"248030403728"</f>
        <v>248030403728</v>
      </c>
      <c r="O4856" t="str">
        <f>"460003199908221627"</f>
        <v>460003199908221627</v>
      </c>
    </row>
    <row r="4857" customFormat="1" spans="1:15">
      <c r="A4857">
        <v>6248</v>
      </c>
      <c r="B4857" t="s">
        <v>5247</v>
      </c>
      <c r="C4857" t="str">
        <f>"450924199610252227"</f>
        <v>450924199610252227</v>
      </c>
      <c r="D4857" t="str">
        <f>"248030504207"</f>
        <v>248030504207</v>
      </c>
      <c r="L4857">
        <v>6248</v>
      </c>
      <c r="M4857" t="s">
        <v>5247</v>
      </c>
      <c r="N4857" t="str">
        <f>"248030504207"</f>
        <v>248030504207</v>
      </c>
      <c r="O4857" t="str">
        <f>"450924199610252227"</f>
        <v>450924199610252227</v>
      </c>
    </row>
    <row r="4858" customFormat="1" spans="1:15">
      <c r="A4858">
        <v>6249</v>
      </c>
      <c r="B4858" t="s">
        <v>5248</v>
      </c>
      <c r="C4858" t="str">
        <f>"460033199712183241"</f>
        <v>460033199712183241</v>
      </c>
      <c r="L4858">
        <v>6249</v>
      </c>
      <c r="M4858" t="s">
        <v>5248</v>
      </c>
      <c r="O4858" t="str">
        <f>"460033199712183241"</f>
        <v>460033199712183241</v>
      </c>
    </row>
    <row r="4859" customFormat="1" spans="1:15">
      <c r="A4859">
        <v>6250</v>
      </c>
      <c r="B4859" t="s">
        <v>5249</v>
      </c>
      <c r="C4859" t="str">
        <f>"34082619940409344X"</f>
        <v>34082619940409344X</v>
      </c>
      <c r="D4859" t="str">
        <f>"248030500312"</f>
        <v>248030500312</v>
      </c>
      <c r="L4859">
        <v>6250</v>
      </c>
      <c r="M4859" t="s">
        <v>5249</v>
      </c>
      <c r="N4859" t="str">
        <f>"248030500312"</f>
        <v>248030500312</v>
      </c>
      <c r="O4859" t="str">
        <f>"34082619940409344X"</f>
        <v>34082619940409344X</v>
      </c>
    </row>
    <row r="4860" customFormat="1" spans="1:15">
      <c r="A4860">
        <v>6251</v>
      </c>
      <c r="B4860" t="s">
        <v>5250</v>
      </c>
      <c r="C4860" t="str">
        <f>"320324199408170971"</f>
        <v>320324199408170971</v>
      </c>
      <c r="L4860">
        <v>6251</v>
      </c>
      <c r="M4860" t="s">
        <v>5250</v>
      </c>
      <c r="O4860" t="str">
        <f>"320324199408170971"</f>
        <v>320324199408170971</v>
      </c>
    </row>
    <row r="4861" customFormat="1" spans="1:15">
      <c r="A4861">
        <v>6252</v>
      </c>
      <c r="B4861" t="s">
        <v>5251</v>
      </c>
      <c r="C4861" t="str">
        <f>"460103199612072728"</f>
        <v>460103199612072728</v>
      </c>
      <c r="D4861" t="str">
        <f>"248030402425"</f>
        <v>248030402425</v>
      </c>
      <c r="L4861">
        <v>6252</v>
      </c>
      <c r="M4861" t="s">
        <v>5251</v>
      </c>
      <c r="N4861" t="str">
        <f>"248030402425"</f>
        <v>248030402425</v>
      </c>
      <c r="O4861" t="str">
        <f>"460103199612072728"</f>
        <v>460103199612072728</v>
      </c>
    </row>
    <row r="4862" customFormat="1" spans="1:15">
      <c r="A4862">
        <v>6253</v>
      </c>
      <c r="B4862" t="s">
        <v>5252</v>
      </c>
      <c r="C4862" t="str">
        <f>"460004199607020860"</f>
        <v>460004199607020860</v>
      </c>
      <c r="D4862" t="str">
        <f>"248030200626"</f>
        <v>248030200626</v>
      </c>
      <c r="L4862">
        <v>6253</v>
      </c>
      <c r="M4862" t="s">
        <v>5252</v>
      </c>
      <c r="N4862" t="str">
        <f>"248030200626"</f>
        <v>248030200626</v>
      </c>
      <c r="O4862" t="str">
        <f>"460004199607020860"</f>
        <v>460004199607020860</v>
      </c>
    </row>
    <row r="4863" customFormat="1" spans="1:15">
      <c r="A4863">
        <v>6254</v>
      </c>
      <c r="B4863" t="s">
        <v>5253</v>
      </c>
      <c r="C4863" t="str">
        <f>"230223198701070023"</f>
        <v>230223198701070023</v>
      </c>
      <c r="D4863" t="str">
        <f>"248030500221"</f>
        <v>248030500221</v>
      </c>
      <c r="L4863">
        <v>6254</v>
      </c>
      <c r="M4863" t="s">
        <v>5253</v>
      </c>
      <c r="N4863" t="str">
        <f>"248030500221"</f>
        <v>248030500221</v>
      </c>
      <c r="O4863" t="str">
        <f>"230223198701070023"</f>
        <v>230223198701070023</v>
      </c>
    </row>
    <row r="4864" customFormat="1" spans="1:15">
      <c r="A4864">
        <v>6255</v>
      </c>
      <c r="B4864" t="s">
        <v>5254</v>
      </c>
      <c r="C4864" t="str">
        <f>"460106200109283821"</f>
        <v>460106200109283821</v>
      </c>
      <c r="D4864" t="str">
        <f>"248030502902"</f>
        <v>248030502902</v>
      </c>
      <c r="L4864">
        <v>6255</v>
      </c>
      <c r="M4864" t="s">
        <v>5254</v>
      </c>
      <c r="N4864" t="str">
        <f>"248030502902"</f>
        <v>248030502902</v>
      </c>
      <c r="O4864" t="str">
        <f>"460106200109283821"</f>
        <v>460106200109283821</v>
      </c>
    </row>
    <row r="4865" customFormat="1" spans="1:15">
      <c r="A4865">
        <v>6256</v>
      </c>
      <c r="B4865" t="s">
        <v>5255</v>
      </c>
      <c r="C4865" t="str">
        <f>"469023200109293711"</f>
        <v>469023200109293711</v>
      </c>
      <c r="D4865" t="str">
        <f>"248030402219"</f>
        <v>248030402219</v>
      </c>
      <c r="L4865">
        <v>6256</v>
      </c>
      <c r="M4865" t="s">
        <v>5255</v>
      </c>
      <c r="N4865" t="str">
        <f>"248030402219"</f>
        <v>248030402219</v>
      </c>
      <c r="O4865" t="str">
        <f>"469023200109293711"</f>
        <v>469023200109293711</v>
      </c>
    </row>
    <row r="4866" customFormat="1" spans="1:15">
      <c r="A4866">
        <v>6257</v>
      </c>
      <c r="B4866" t="s">
        <v>5256</v>
      </c>
      <c r="C4866" t="str">
        <f>"46002719941012234X"</f>
        <v>46002719941012234X</v>
      </c>
      <c r="L4866">
        <v>6257</v>
      </c>
      <c r="M4866" t="s">
        <v>5256</v>
      </c>
      <c r="O4866" t="str">
        <f>"46002719941012234X"</f>
        <v>46002719941012234X</v>
      </c>
    </row>
    <row r="4867" customFormat="1" spans="1:15">
      <c r="A4867">
        <v>6258</v>
      </c>
      <c r="B4867" t="s">
        <v>5257</v>
      </c>
      <c r="C4867" t="str">
        <f>"460025199209090929"</f>
        <v>460025199209090929</v>
      </c>
      <c r="L4867">
        <v>6258</v>
      </c>
      <c r="M4867" t="s">
        <v>5257</v>
      </c>
      <c r="O4867" t="str">
        <f>"460025199209090929"</f>
        <v>460025199209090929</v>
      </c>
    </row>
    <row r="4868" customFormat="1" spans="1:15">
      <c r="A4868">
        <v>6259</v>
      </c>
      <c r="B4868" t="s">
        <v>5258</v>
      </c>
      <c r="C4868" t="str">
        <f>"469003200101056716"</f>
        <v>469003200101056716</v>
      </c>
      <c r="D4868" t="str">
        <f>"248030404004"</f>
        <v>248030404004</v>
      </c>
      <c r="L4868">
        <v>6259</v>
      </c>
      <c r="M4868" t="s">
        <v>5258</v>
      </c>
      <c r="N4868" t="str">
        <f>"248030404004"</f>
        <v>248030404004</v>
      </c>
      <c r="O4868" t="str">
        <f>"469003200101056716"</f>
        <v>469003200101056716</v>
      </c>
    </row>
    <row r="4869" customFormat="1" spans="1:15">
      <c r="A4869">
        <v>6260</v>
      </c>
      <c r="B4869" t="s">
        <v>5259</v>
      </c>
      <c r="C4869" t="str">
        <f>"460025199810171228"</f>
        <v>460025199810171228</v>
      </c>
      <c r="D4869" t="str">
        <f>"248030103427"</f>
        <v>248030103427</v>
      </c>
      <c r="L4869">
        <v>6260</v>
      </c>
      <c r="M4869" t="s">
        <v>5259</v>
      </c>
      <c r="N4869" t="str">
        <f>"248030103427"</f>
        <v>248030103427</v>
      </c>
      <c r="O4869" t="str">
        <f>"460025199810171228"</f>
        <v>460025199810171228</v>
      </c>
    </row>
    <row r="4870" customFormat="1" spans="1:15">
      <c r="A4870">
        <v>6261</v>
      </c>
      <c r="B4870" t="s">
        <v>5260</v>
      </c>
      <c r="C4870" t="str">
        <f>"460004200011070029"</f>
        <v>460004200011070029</v>
      </c>
      <c r="D4870" t="str">
        <f>"248030101221"</f>
        <v>248030101221</v>
      </c>
      <c r="L4870">
        <v>6261</v>
      </c>
      <c r="M4870" t="s">
        <v>5260</v>
      </c>
      <c r="N4870" t="str">
        <f>"248030101221"</f>
        <v>248030101221</v>
      </c>
      <c r="O4870" t="str">
        <f>"460004200011070029"</f>
        <v>460004200011070029</v>
      </c>
    </row>
    <row r="4871" customFormat="1" spans="1:15">
      <c r="A4871">
        <v>6262</v>
      </c>
      <c r="B4871" t="s">
        <v>5261</v>
      </c>
      <c r="C4871" t="str">
        <f>"460027200211281343"</f>
        <v>460027200211281343</v>
      </c>
      <c r="D4871" t="str">
        <f>"248030502729"</f>
        <v>248030502729</v>
      </c>
      <c r="L4871">
        <v>6262</v>
      </c>
      <c r="M4871" t="s">
        <v>5261</v>
      </c>
      <c r="N4871" t="str">
        <f>"248030502729"</f>
        <v>248030502729</v>
      </c>
      <c r="O4871" t="str">
        <f>"460027200211281343"</f>
        <v>460027200211281343</v>
      </c>
    </row>
    <row r="4872" customFormat="1" spans="1:15">
      <c r="A4872">
        <v>6263</v>
      </c>
      <c r="B4872" t="s">
        <v>5262</v>
      </c>
      <c r="C4872" t="str">
        <f>"460006199901020223"</f>
        <v>460006199901020223</v>
      </c>
      <c r="D4872" t="str">
        <f>"248030501811"</f>
        <v>248030501811</v>
      </c>
      <c r="L4872">
        <v>6263</v>
      </c>
      <c r="M4872" t="s">
        <v>5262</v>
      </c>
      <c r="N4872" t="str">
        <f>"248030501811"</f>
        <v>248030501811</v>
      </c>
      <c r="O4872" t="str">
        <f>"460006199901020223"</f>
        <v>460006199901020223</v>
      </c>
    </row>
    <row r="4873" customFormat="1" spans="1:15">
      <c r="A4873">
        <v>6265</v>
      </c>
      <c r="B4873" t="s">
        <v>5263</v>
      </c>
      <c r="C4873" t="str">
        <f>"460003199411143440"</f>
        <v>460003199411143440</v>
      </c>
      <c r="D4873" t="str">
        <f>"248030102930"</f>
        <v>248030102930</v>
      </c>
      <c r="L4873">
        <v>6265</v>
      </c>
      <c r="M4873" t="s">
        <v>5263</v>
      </c>
      <c r="N4873" t="str">
        <f>"248030102930"</f>
        <v>248030102930</v>
      </c>
      <c r="O4873" t="str">
        <f>"460003199411143440"</f>
        <v>460003199411143440</v>
      </c>
    </row>
    <row r="4874" customFormat="1" spans="1:15">
      <c r="A4874">
        <v>6266</v>
      </c>
      <c r="B4874" t="s">
        <v>5264</v>
      </c>
      <c r="C4874" t="str">
        <f>"65010419940810072X"</f>
        <v>65010419940810072X</v>
      </c>
      <c r="D4874" t="str">
        <f>"248030103613"</f>
        <v>248030103613</v>
      </c>
      <c r="L4874">
        <v>6266</v>
      </c>
      <c r="M4874" t="s">
        <v>5264</v>
      </c>
      <c r="N4874" t="str">
        <f>"248030103613"</f>
        <v>248030103613</v>
      </c>
      <c r="O4874" t="str">
        <f>"65010419940810072X"</f>
        <v>65010419940810072X</v>
      </c>
    </row>
    <row r="4875" customFormat="1" spans="1:15">
      <c r="A4875">
        <v>6267</v>
      </c>
      <c r="B4875" t="s">
        <v>5265</v>
      </c>
      <c r="C4875" t="str">
        <f>"500101199912243138"</f>
        <v>500101199912243138</v>
      </c>
      <c r="D4875" t="str">
        <f>"248030202318"</f>
        <v>248030202318</v>
      </c>
      <c r="L4875">
        <v>6267</v>
      </c>
      <c r="M4875" t="s">
        <v>5265</v>
      </c>
      <c r="N4875" t="str">
        <f>"248030202318"</f>
        <v>248030202318</v>
      </c>
      <c r="O4875" t="str">
        <f>"500101199912243138"</f>
        <v>500101199912243138</v>
      </c>
    </row>
    <row r="4876" customFormat="1" spans="1:15">
      <c r="A4876">
        <v>6268</v>
      </c>
      <c r="B4876" t="s">
        <v>5266</v>
      </c>
      <c r="C4876" t="str">
        <f>"460004199407083664"</f>
        <v>460004199407083664</v>
      </c>
      <c r="D4876" t="str">
        <f>"248030401913"</f>
        <v>248030401913</v>
      </c>
      <c r="L4876">
        <v>6268</v>
      </c>
      <c r="M4876" t="s">
        <v>5266</v>
      </c>
      <c r="N4876" t="str">
        <f>"248030401913"</f>
        <v>248030401913</v>
      </c>
      <c r="O4876" t="str">
        <f>"460004199407083664"</f>
        <v>460004199407083664</v>
      </c>
    </row>
    <row r="4877" customFormat="1" spans="1:15">
      <c r="A4877">
        <v>6269</v>
      </c>
      <c r="B4877" t="s">
        <v>5267</v>
      </c>
      <c r="C4877" t="str">
        <f>"460004199506296411"</f>
        <v>460004199506296411</v>
      </c>
      <c r="D4877" t="str">
        <f>"248030501023"</f>
        <v>248030501023</v>
      </c>
      <c r="L4877">
        <v>6269</v>
      </c>
      <c r="M4877" t="s">
        <v>5267</v>
      </c>
      <c r="N4877" t="str">
        <f>"248030501023"</f>
        <v>248030501023</v>
      </c>
      <c r="O4877" t="str">
        <f>"460004199506296411"</f>
        <v>460004199506296411</v>
      </c>
    </row>
    <row r="4878" customFormat="1" spans="1:15">
      <c r="A4878">
        <v>6270</v>
      </c>
      <c r="B4878" t="s">
        <v>5268</v>
      </c>
      <c r="C4878" t="str">
        <f>"460027199807285921"</f>
        <v>460027199807285921</v>
      </c>
      <c r="D4878" t="str">
        <f>"248030301419"</f>
        <v>248030301419</v>
      </c>
      <c r="L4878">
        <v>6270</v>
      </c>
      <c r="M4878" t="s">
        <v>5268</v>
      </c>
      <c r="N4878" t="str">
        <f>"248030301419"</f>
        <v>248030301419</v>
      </c>
      <c r="O4878" t="str">
        <f>"460027199807285921"</f>
        <v>460027199807285921</v>
      </c>
    </row>
    <row r="4879" customFormat="1" spans="1:15">
      <c r="A4879">
        <v>6271</v>
      </c>
      <c r="B4879" t="s">
        <v>5269</v>
      </c>
      <c r="C4879" t="str">
        <f>"220381199901201640"</f>
        <v>220381199901201640</v>
      </c>
      <c r="L4879">
        <v>6271</v>
      </c>
      <c r="M4879" t="s">
        <v>5269</v>
      </c>
      <c r="O4879" t="str">
        <f>"220381199901201640"</f>
        <v>220381199901201640</v>
      </c>
    </row>
    <row r="4880" customFormat="1" spans="1:15">
      <c r="A4880">
        <v>6272</v>
      </c>
      <c r="B4880" t="s">
        <v>5270</v>
      </c>
      <c r="C4880" t="str">
        <f>"420821199904163027"</f>
        <v>420821199904163027</v>
      </c>
      <c r="D4880" t="str">
        <f>"248030400805"</f>
        <v>248030400805</v>
      </c>
      <c r="L4880">
        <v>6272</v>
      </c>
      <c r="M4880" t="s">
        <v>5270</v>
      </c>
      <c r="N4880" t="str">
        <f>"248030400805"</f>
        <v>248030400805</v>
      </c>
      <c r="O4880" t="str">
        <f>"420821199904163027"</f>
        <v>420821199904163027</v>
      </c>
    </row>
    <row r="4881" customFormat="1" spans="1:15">
      <c r="A4881">
        <v>6274</v>
      </c>
      <c r="B4881" t="s">
        <v>5271</v>
      </c>
      <c r="C4881" t="str">
        <f>"46000620020430404X"</f>
        <v>46000620020430404X</v>
      </c>
      <c r="D4881" t="str">
        <f>"248030302624"</f>
        <v>248030302624</v>
      </c>
      <c r="L4881">
        <v>6274</v>
      </c>
      <c r="M4881" t="s">
        <v>5271</v>
      </c>
      <c r="N4881" t="str">
        <f>"248030302624"</f>
        <v>248030302624</v>
      </c>
      <c r="O4881" t="str">
        <f>"46000620020430404X"</f>
        <v>46000620020430404X</v>
      </c>
    </row>
    <row r="4882" customFormat="1" spans="1:15">
      <c r="A4882">
        <v>6277</v>
      </c>
      <c r="B4882" t="s">
        <v>5272</v>
      </c>
      <c r="C4882" t="str">
        <f>"460006199811072927"</f>
        <v>460006199811072927</v>
      </c>
      <c r="D4882" t="str">
        <f>"248030102323"</f>
        <v>248030102323</v>
      </c>
      <c r="L4882">
        <v>6277</v>
      </c>
      <c r="M4882" t="s">
        <v>5272</v>
      </c>
      <c r="N4882" t="str">
        <f>"248030102323"</f>
        <v>248030102323</v>
      </c>
      <c r="O4882" t="str">
        <f>"460006199811072927"</f>
        <v>460006199811072927</v>
      </c>
    </row>
    <row r="4883" customFormat="1" spans="1:15">
      <c r="A4883">
        <v>6278</v>
      </c>
      <c r="B4883" t="s">
        <v>5273</v>
      </c>
      <c r="C4883" t="str">
        <f>"460003200111040242"</f>
        <v>460003200111040242</v>
      </c>
      <c r="D4883" t="str">
        <f>"248030404010"</f>
        <v>248030404010</v>
      </c>
      <c r="L4883">
        <v>6278</v>
      </c>
      <c r="M4883" t="s">
        <v>5273</v>
      </c>
      <c r="N4883" t="str">
        <f>"248030404010"</f>
        <v>248030404010</v>
      </c>
      <c r="O4883" t="str">
        <f>"460003200111040242"</f>
        <v>460003200111040242</v>
      </c>
    </row>
    <row r="4884" customFormat="1" spans="1:15">
      <c r="A4884">
        <v>6279</v>
      </c>
      <c r="B4884" t="s">
        <v>5274</v>
      </c>
      <c r="C4884" t="str">
        <f>"46002219951207122X"</f>
        <v>46002219951207122X</v>
      </c>
      <c r="D4884" t="str">
        <f>"248030300918"</f>
        <v>248030300918</v>
      </c>
      <c r="L4884">
        <v>6279</v>
      </c>
      <c r="M4884" t="s">
        <v>5274</v>
      </c>
      <c r="N4884" t="str">
        <f>"248030300918"</f>
        <v>248030300918</v>
      </c>
      <c r="O4884" t="str">
        <f>"46002219951207122X"</f>
        <v>46002219951207122X</v>
      </c>
    </row>
    <row r="4885" customFormat="1" spans="1:15">
      <c r="A4885">
        <v>6280</v>
      </c>
      <c r="B4885" t="s">
        <v>5275</v>
      </c>
      <c r="C4885" t="str">
        <f>"46003320020114238X"</f>
        <v>46003320020114238X</v>
      </c>
      <c r="D4885" t="str">
        <f>"248030301015"</f>
        <v>248030301015</v>
      </c>
      <c r="L4885">
        <v>6280</v>
      </c>
      <c r="M4885" t="s">
        <v>5275</v>
      </c>
      <c r="N4885" t="str">
        <f>"248030301015"</f>
        <v>248030301015</v>
      </c>
      <c r="O4885" t="str">
        <f>"46003320020114238X"</f>
        <v>46003320020114238X</v>
      </c>
    </row>
    <row r="4886" customFormat="1" spans="1:15">
      <c r="A4886">
        <v>6282</v>
      </c>
      <c r="B4886" t="s">
        <v>5276</v>
      </c>
      <c r="C4886" t="str">
        <f>"460103199810023628"</f>
        <v>460103199810023628</v>
      </c>
      <c r="D4886" t="str">
        <f>"248030401422"</f>
        <v>248030401422</v>
      </c>
      <c r="L4886">
        <v>6282</v>
      </c>
      <c r="M4886" t="s">
        <v>5276</v>
      </c>
      <c r="N4886" t="str">
        <f>"248030401422"</f>
        <v>248030401422</v>
      </c>
      <c r="O4886" t="str">
        <f>"460103199810023628"</f>
        <v>460103199810023628</v>
      </c>
    </row>
    <row r="4887" customFormat="1" spans="1:15">
      <c r="A4887">
        <v>6283</v>
      </c>
      <c r="B4887" t="s">
        <v>5277</v>
      </c>
      <c r="C4887" t="str">
        <f>"460028200103100820"</f>
        <v>460028200103100820</v>
      </c>
      <c r="L4887">
        <v>6283</v>
      </c>
      <c r="M4887" t="s">
        <v>5277</v>
      </c>
      <c r="O4887" t="str">
        <f>"460028200103100820"</f>
        <v>460028200103100820</v>
      </c>
    </row>
    <row r="4888" customFormat="1" spans="1:15">
      <c r="A4888">
        <v>6284</v>
      </c>
      <c r="B4888" t="s">
        <v>5278</v>
      </c>
      <c r="C4888" t="str">
        <f>"460026199011245127"</f>
        <v>460026199011245127</v>
      </c>
      <c r="L4888">
        <v>6284</v>
      </c>
      <c r="M4888" t="s">
        <v>5278</v>
      </c>
      <c r="O4888" t="str">
        <f>"460026199011245127"</f>
        <v>460026199011245127</v>
      </c>
    </row>
    <row r="4889" customFormat="1" spans="1:15">
      <c r="A4889">
        <v>6285</v>
      </c>
      <c r="B4889" t="s">
        <v>5279</v>
      </c>
      <c r="C4889" t="str">
        <f>"460005200109250526"</f>
        <v>460005200109250526</v>
      </c>
      <c r="D4889" t="str">
        <f>"248030101607"</f>
        <v>248030101607</v>
      </c>
      <c r="L4889">
        <v>6285</v>
      </c>
      <c r="M4889" t="s">
        <v>5279</v>
      </c>
      <c r="N4889" t="str">
        <f>"248030101607"</f>
        <v>248030101607</v>
      </c>
      <c r="O4889" t="str">
        <f>"460005200109250526"</f>
        <v>460005200109250526</v>
      </c>
    </row>
    <row r="4890" customFormat="1" spans="1:15">
      <c r="A4890">
        <v>6286</v>
      </c>
      <c r="B4890" t="s">
        <v>5280</v>
      </c>
      <c r="C4890" t="str">
        <f>"460004199708194464"</f>
        <v>460004199708194464</v>
      </c>
      <c r="D4890" t="str">
        <f>"248030101702"</f>
        <v>248030101702</v>
      </c>
      <c r="L4890">
        <v>6286</v>
      </c>
      <c r="M4890" t="s">
        <v>5280</v>
      </c>
      <c r="N4890" t="str">
        <f>"248030101702"</f>
        <v>248030101702</v>
      </c>
      <c r="O4890" t="str">
        <f>"460004199708194464"</f>
        <v>460004199708194464</v>
      </c>
    </row>
    <row r="4891" customFormat="1" spans="1:15">
      <c r="A4891">
        <v>6287</v>
      </c>
      <c r="B4891" t="s">
        <v>5281</v>
      </c>
      <c r="C4891" t="str">
        <f>"460102199910082725"</f>
        <v>460102199910082725</v>
      </c>
      <c r="D4891" t="str">
        <f>"248030200416"</f>
        <v>248030200416</v>
      </c>
      <c r="L4891">
        <v>6287</v>
      </c>
      <c r="M4891" t="s">
        <v>5281</v>
      </c>
      <c r="N4891" t="str">
        <f>"248030200416"</f>
        <v>248030200416</v>
      </c>
      <c r="O4891" t="str">
        <f>"460102199910082725"</f>
        <v>460102199910082725</v>
      </c>
    </row>
    <row r="4892" customFormat="1" spans="1:15">
      <c r="A4892">
        <v>6289</v>
      </c>
      <c r="B4892" t="s">
        <v>5282</v>
      </c>
      <c r="C4892" t="str">
        <f>"469023199602011321"</f>
        <v>469023199602011321</v>
      </c>
      <c r="D4892" t="str">
        <f>"248030400526"</f>
        <v>248030400526</v>
      </c>
      <c r="L4892">
        <v>6289</v>
      </c>
      <c r="M4892" t="s">
        <v>5282</v>
      </c>
      <c r="N4892" t="str">
        <f>"248030400526"</f>
        <v>248030400526</v>
      </c>
      <c r="O4892" t="str">
        <f>"469023199602011321"</f>
        <v>469023199602011321</v>
      </c>
    </row>
    <row r="4893" customFormat="1" spans="1:15">
      <c r="A4893">
        <v>6290</v>
      </c>
      <c r="B4893" t="s">
        <v>5283</v>
      </c>
      <c r="C4893" t="str">
        <f>"460027200112310049"</f>
        <v>460027200112310049</v>
      </c>
      <c r="D4893" t="str">
        <f>"248030502319"</f>
        <v>248030502319</v>
      </c>
      <c r="L4893">
        <v>6290</v>
      </c>
      <c r="M4893" t="s">
        <v>5283</v>
      </c>
      <c r="N4893" t="str">
        <f>"248030502319"</f>
        <v>248030502319</v>
      </c>
      <c r="O4893" t="str">
        <f>"460027200112310049"</f>
        <v>460027200112310049</v>
      </c>
    </row>
    <row r="4894" customFormat="1" spans="1:15">
      <c r="A4894">
        <v>6292</v>
      </c>
      <c r="B4894" t="s">
        <v>5284</v>
      </c>
      <c r="C4894" t="str">
        <f>"460005199507115121"</f>
        <v>460005199507115121</v>
      </c>
      <c r="D4894" t="str">
        <f>"248030500226"</f>
        <v>248030500226</v>
      </c>
      <c r="L4894">
        <v>6292</v>
      </c>
      <c r="M4894" t="s">
        <v>5284</v>
      </c>
      <c r="N4894" t="str">
        <f>"248030500226"</f>
        <v>248030500226</v>
      </c>
      <c r="O4894" t="str">
        <f>"460005199507115121"</f>
        <v>460005199507115121</v>
      </c>
    </row>
    <row r="4895" customFormat="1" spans="1:15">
      <c r="A4895">
        <v>6293</v>
      </c>
      <c r="B4895" t="s">
        <v>5285</v>
      </c>
      <c r="C4895" t="str">
        <f>"460006199510022926"</f>
        <v>460006199510022926</v>
      </c>
      <c r="D4895" t="str">
        <f>"248030102824"</f>
        <v>248030102824</v>
      </c>
      <c r="L4895">
        <v>6293</v>
      </c>
      <c r="M4895" t="s">
        <v>5285</v>
      </c>
      <c r="N4895" t="str">
        <f>"248030102824"</f>
        <v>248030102824</v>
      </c>
      <c r="O4895" t="str">
        <f>"460006199510022926"</f>
        <v>460006199510022926</v>
      </c>
    </row>
    <row r="4896" customFormat="1" spans="1:15">
      <c r="A4896">
        <v>6294</v>
      </c>
      <c r="B4896" t="s">
        <v>5286</v>
      </c>
      <c r="C4896" t="str">
        <f>"460005200006191711"</f>
        <v>460005200006191711</v>
      </c>
      <c r="D4896" t="str">
        <f>"248030400829"</f>
        <v>248030400829</v>
      </c>
      <c r="L4896">
        <v>6294</v>
      </c>
      <c r="M4896" t="s">
        <v>5286</v>
      </c>
      <c r="N4896" t="str">
        <f>"248030400829"</f>
        <v>248030400829</v>
      </c>
      <c r="O4896" t="str">
        <f>"460005200006191711"</f>
        <v>460005200006191711</v>
      </c>
    </row>
    <row r="4897" customFormat="1" spans="1:15">
      <c r="A4897">
        <v>6295</v>
      </c>
      <c r="B4897" t="s">
        <v>5287</v>
      </c>
      <c r="C4897" t="str">
        <f>"46002719910623593X"</f>
        <v>46002719910623593X</v>
      </c>
      <c r="D4897" t="str">
        <f>"248030202017"</f>
        <v>248030202017</v>
      </c>
      <c r="L4897">
        <v>6295</v>
      </c>
      <c r="M4897" t="s">
        <v>5287</v>
      </c>
      <c r="N4897" t="str">
        <f>"248030202017"</f>
        <v>248030202017</v>
      </c>
      <c r="O4897" t="str">
        <f>"46002719910623593X"</f>
        <v>46002719910623593X</v>
      </c>
    </row>
    <row r="4898" customFormat="1" spans="1:15">
      <c r="A4898">
        <v>6296</v>
      </c>
      <c r="B4898" t="s">
        <v>5288</v>
      </c>
      <c r="C4898" t="str">
        <f>"460005200106165123"</f>
        <v>460005200106165123</v>
      </c>
      <c r="D4898" t="str">
        <f>"248030503206"</f>
        <v>248030503206</v>
      </c>
      <c r="L4898">
        <v>6296</v>
      </c>
      <c r="M4898" t="s">
        <v>5288</v>
      </c>
      <c r="N4898" t="str">
        <f>"248030503206"</f>
        <v>248030503206</v>
      </c>
      <c r="O4898" t="str">
        <f>"460005200106165123"</f>
        <v>460005200106165123</v>
      </c>
    </row>
    <row r="4899" customFormat="1" spans="1:15">
      <c r="A4899">
        <v>6298</v>
      </c>
      <c r="B4899" t="s">
        <v>5289</v>
      </c>
      <c r="C4899" t="str">
        <f>"460027200003287927"</f>
        <v>460027200003287927</v>
      </c>
      <c r="D4899" t="str">
        <f>"248030202221"</f>
        <v>248030202221</v>
      </c>
      <c r="L4899">
        <v>6298</v>
      </c>
      <c r="M4899" t="s">
        <v>5289</v>
      </c>
      <c r="N4899" t="str">
        <f>"248030202221"</f>
        <v>248030202221</v>
      </c>
      <c r="O4899" t="str">
        <f>"460027200003287927"</f>
        <v>460027200003287927</v>
      </c>
    </row>
    <row r="4900" customFormat="1" spans="1:15">
      <c r="A4900">
        <v>6299</v>
      </c>
      <c r="B4900" t="s">
        <v>5290</v>
      </c>
      <c r="C4900" t="str">
        <f>"460107199905092621"</f>
        <v>460107199905092621</v>
      </c>
      <c r="D4900" t="str">
        <f>"248030402516"</f>
        <v>248030402516</v>
      </c>
      <c r="L4900">
        <v>6299</v>
      </c>
      <c r="M4900" t="s">
        <v>5290</v>
      </c>
      <c r="N4900" t="str">
        <f>"248030402516"</f>
        <v>248030402516</v>
      </c>
      <c r="O4900" t="str">
        <f>"460107199905092621"</f>
        <v>460107199905092621</v>
      </c>
    </row>
    <row r="4901" customFormat="1" spans="1:15">
      <c r="A4901">
        <v>6300</v>
      </c>
      <c r="B4901" t="s">
        <v>5291</v>
      </c>
      <c r="C4901" t="str">
        <f>"460002199905170311"</f>
        <v>460002199905170311</v>
      </c>
      <c r="D4901" t="str">
        <f>"248030403821"</f>
        <v>248030403821</v>
      </c>
      <c r="L4901">
        <v>6300</v>
      </c>
      <c r="M4901" t="s">
        <v>5291</v>
      </c>
      <c r="N4901" t="str">
        <f>"248030403821"</f>
        <v>248030403821</v>
      </c>
      <c r="O4901" t="str">
        <f>"460002199905170311"</f>
        <v>460002199905170311</v>
      </c>
    </row>
    <row r="4902" customFormat="1" spans="1:15">
      <c r="A4902">
        <v>6302</v>
      </c>
      <c r="B4902" t="s">
        <v>2606</v>
      </c>
      <c r="C4902" t="str">
        <f>"460027199812267023"</f>
        <v>460027199812267023</v>
      </c>
      <c r="D4902" t="str">
        <f>"248030301923"</f>
        <v>248030301923</v>
      </c>
      <c r="L4902">
        <v>6302</v>
      </c>
      <c r="M4902" t="s">
        <v>2606</v>
      </c>
      <c r="N4902" t="str">
        <f>"248030301923"</f>
        <v>248030301923</v>
      </c>
      <c r="O4902" t="str">
        <f>"460027199812267023"</f>
        <v>460027199812267023</v>
      </c>
    </row>
    <row r="4903" customFormat="1" spans="1:15">
      <c r="A4903">
        <v>6303</v>
      </c>
      <c r="B4903" t="s">
        <v>5292</v>
      </c>
      <c r="C4903" t="str">
        <f>"460005200105096066"</f>
        <v>460005200105096066</v>
      </c>
      <c r="D4903" t="str">
        <f>"248030503321"</f>
        <v>248030503321</v>
      </c>
      <c r="L4903">
        <v>6303</v>
      </c>
      <c r="M4903" t="s">
        <v>5292</v>
      </c>
      <c r="N4903" t="str">
        <f>"248030503321"</f>
        <v>248030503321</v>
      </c>
      <c r="O4903" t="str">
        <f>"460005200105096066"</f>
        <v>460005200105096066</v>
      </c>
    </row>
    <row r="4904" customFormat="1" spans="1:15">
      <c r="A4904">
        <v>6304</v>
      </c>
      <c r="B4904" t="s">
        <v>5293</v>
      </c>
      <c r="C4904" t="str">
        <f>"460005200001083228"</f>
        <v>460005200001083228</v>
      </c>
      <c r="D4904" t="str">
        <f>"248030301702"</f>
        <v>248030301702</v>
      </c>
      <c r="L4904">
        <v>6304</v>
      </c>
      <c r="M4904" t="s">
        <v>5293</v>
      </c>
      <c r="N4904" t="str">
        <f>"248030301702"</f>
        <v>248030301702</v>
      </c>
      <c r="O4904" t="str">
        <f>"460005200001083228"</f>
        <v>460005200001083228</v>
      </c>
    </row>
    <row r="4905" customFormat="1" spans="1:15">
      <c r="A4905">
        <v>6305</v>
      </c>
      <c r="B4905" t="s">
        <v>5294</v>
      </c>
      <c r="C4905" t="str">
        <f>"460003199406231622"</f>
        <v>460003199406231622</v>
      </c>
      <c r="L4905">
        <v>6305</v>
      </c>
      <c r="M4905" t="s">
        <v>5294</v>
      </c>
      <c r="O4905" t="str">
        <f>"460003199406231622"</f>
        <v>460003199406231622</v>
      </c>
    </row>
    <row r="4906" customFormat="1" spans="1:15">
      <c r="A4906">
        <v>6306</v>
      </c>
      <c r="B4906" t="s">
        <v>5295</v>
      </c>
      <c r="C4906" t="str">
        <f>"460200200206010515"</f>
        <v>460200200206010515</v>
      </c>
      <c r="D4906" t="str">
        <f>"248030300705"</f>
        <v>248030300705</v>
      </c>
      <c r="L4906">
        <v>6306</v>
      </c>
      <c r="M4906" t="s">
        <v>5295</v>
      </c>
      <c r="N4906" t="str">
        <f>"248030300705"</f>
        <v>248030300705</v>
      </c>
      <c r="O4906" t="str">
        <f>"460200200206010515"</f>
        <v>460200200206010515</v>
      </c>
    </row>
    <row r="4907" customFormat="1" spans="1:15">
      <c r="A4907">
        <v>6307</v>
      </c>
      <c r="B4907" t="s">
        <v>5296</v>
      </c>
      <c r="C4907" t="str">
        <f>"460004199912213626"</f>
        <v>460004199912213626</v>
      </c>
      <c r="L4907">
        <v>6307</v>
      </c>
      <c r="M4907" t="s">
        <v>5296</v>
      </c>
      <c r="O4907" t="str">
        <f>"460004199912213626"</f>
        <v>460004199912213626</v>
      </c>
    </row>
    <row r="4908" customFormat="1" spans="1:15">
      <c r="A4908">
        <v>6308</v>
      </c>
      <c r="B4908" t="s">
        <v>5297</v>
      </c>
      <c r="C4908" t="str">
        <f>"620103199904215022"</f>
        <v>620103199904215022</v>
      </c>
      <c r="D4908" t="str">
        <f>"248030102303"</f>
        <v>248030102303</v>
      </c>
      <c r="L4908">
        <v>6308</v>
      </c>
      <c r="M4908" t="s">
        <v>5297</v>
      </c>
      <c r="N4908" t="str">
        <f>"248030102303"</f>
        <v>248030102303</v>
      </c>
      <c r="O4908" t="str">
        <f>"620103199904215022"</f>
        <v>620103199904215022</v>
      </c>
    </row>
    <row r="4909" customFormat="1" spans="1:15">
      <c r="A4909">
        <v>6309</v>
      </c>
      <c r="B4909" t="s">
        <v>5298</v>
      </c>
      <c r="C4909" t="str">
        <f>"460007200012016162"</f>
        <v>460007200012016162</v>
      </c>
      <c r="D4909" t="str">
        <f>"248030103519"</f>
        <v>248030103519</v>
      </c>
      <c r="L4909">
        <v>6309</v>
      </c>
      <c r="M4909" t="s">
        <v>5298</v>
      </c>
      <c r="N4909" t="str">
        <f>"248030103519"</f>
        <v>248030103519</v>
      </c>
      <c r="O4909" t="str">
        <f>"460007200012016162"</f>
        <v>460007200012016162</v>
      </c>
    </row>
    <row r="4910" customFormat="1" spans="1:15">
      <c r="A4910">
        <v>6310</v>
      </c>
      <c r="B4910" t="s">
        <v>216</v>
      </c>
      <c r="C4910" t="str">
        <f>"460102199106231523"</f>
        <v>460102199106231523</v>
      </c>
      <c r="D4910" t="str">
        <f>"248030101511"</f>
        <v>248030101511</v>
      </c>
      <c r="L4910">
        <v>6310</v>
      </c>
      <c r="M4910" t="s">
        <v>216</v>
      </c>
      <c r="N4910" t="str">
        <f>"248030101511"</f>
        <v>248030101511</v>
      </c>
      <c r="O4910" t="str">
        <f>"460102199106231523"</f>
        <v>460102199106231523</v>
      </c>
    </row>
    <row r="4911" customFormat="1" spans="1:15">
      <c r="A4911">
        <v>6313</v>
      </c>
      <c r="B4911" t="s">
        <v>5299</v>
      </c>
      <c r="C4911" t="str">
        <f>"460028200006085649"</f>
        <v>460028200006085649</v>
      </c>
      <c r="D4911" t="str">
        <f>"248030300829"</f>
        <v>248030300829</v>
      </c>
      <c r="L4911">
        <v>6313</v>
      </c>
      <c r="M4911" t="s">
        <v>5299</v>
      </c>
      <c r="N4911" t="str">
        <f>"248030300829"</f>
        <v>248030300829</v>
      </c>
      <c r="O4911" t="str">
        <f>"460028200006085649"</f>
        <v>460028200006085649</v>
      </c>
    </row>
    <row r="4912" customFormat="1" spans="1:15">
      <c r="A4912">
        <v>6314</v>
      </c>
      <c r="B4912" t="s">
        <v>5300</v>
      </c>
      <c r="C4912" t="str">
        <f>"469007200109167221"</f>
        <v>469007200109167221</v>
      </c>
      <c r="D4912" t="str">
        <f>"248030200305"</f>
        <v>248030200305</v>
      </c>
      <c r="L4912">
        <v>6314</v>
      </c>
      <c r="M4912" t="s">
        <v>5300</v>
      </c>
      <c r="N4912" t="str">
        <f>"248030200305"</f>
        <v>248030200305</v>
      </c>
      <c r="O4912" t="str">
        <f>"469007200109167221"</f>
        <v>469007200109167221</v>
      </c>
    </row>
    <row r="4913" customFormat="1" spans="1:15">
      <c r="A4913">
        <v>6315</v>
      </c>
      <c r="B4913" t="s">
        <v>514</v>
      </c>
      <c r="C4913" t="str">
        <f>"460027199703053421"</f>
        <v>460027199703053421</v>
      </c>
      <c r="D4913" t="str">
        <f>"248030100224"</f>
        <v>248030100224</v>
      </c>
      <c r="L4913">
        <v>6315</v>
      </c>
      <c r="M4913" t="s">
        <v>514</v>
      </c>
      <c r="N4913" t="str">
        <f>"248030100224"</f>
        <v>248030100224</v>
      </c>
      <c r="O4913" t="str">
        <f>"460027199703053421"</f>
        <v>460027199703053421</v>
      </c>
    </row>
    <row r="4914" customFormat="1" spans="1:15">
      <c r="A4914">
        <v>6316</v>
      </c>
      <c r="B4914" t="s">
        <v>5301</v>
      </c>
      <c r="C4914" t="str">
        <f>"460006199501202327"</f>
        <v>460006199501202327</v>
      </c>
      <c r="D4914" t="str">
        <f>"248030501418"</f>
        <v>248030501418</v>
      </c>
      <c r="L4914">
        <v>6316</v>
      </c>
      <c r="M4914" t="s">
        <v>5301</v>
      </c>
      <c r="N4914" t="str">
        <f>"248030501418"</f>
        <v>248030501418</v>
      </c>
      <c r="O4914" t="str">
        <f>"460006199501202327"</f>
        <v>460006199501202327</v>
      </c>
    </row>
    <row r="4915" customFormat="1" spans="1:15">
      <c r="A4915">
        <v>6317</v>
      </c>
      <c r="B4915" t="s">
        <v>5302</v>
      </c>
      <c r="C4915" t="str">
        <f>"460027200004068224"</f>
        <v>460027200004068224</v>
      </c>
      <c r="L4915">
        <v>6317</v>
      </c>
      <c r="M4915" t="s">
        <v>5302</v>
      </c>
      <c r="O4915" t="str">
        <f>"460027200004068224"</f>
        <v>460027200004068224</v>
      </c>
    </row>
    <row r="4916" customFormat="1" spans="1:15">
      <c r="A4916">
        <v>6318</v>
      </c>
      <c r="B4916" t="s">
        <v>5303</v>
      </c>
      <c r="C4916" t="str">
        <f>"460027199503176224"</f>
        <v>460027199503176224</v>
      </c>
      <c r="D4916" t="str">
        <f>"248030402301"</f>
        <v>248030402301</v>
      </c>
      <c r="L4916">
        <v>6318</v>
      </c>
      <c r="M4916" t="s">
        <v>5303</v>
      </c>
      <c r="N4916" t="str">
        <f>"248030402301"</f>
        <v>248030402301</v>
      </c>
      <c r="O4916" t="str">
        <f>"460027199503176224"</f>
        <v>460027199503176224</v>
      </c>
    </row>
    <row r="4917" customFormat="1" spans="1:15">
      <c r="A4917">
        <v>6320</v>
      </c>
      <c r="B4917" t="s">
        <v>5304</v>
      </c>
      <c r="C4917" t="str">
        <f>"460002200203175826"</f>
        <v>460002200203175826</v>
      </c>
      <c r="D4917" t="str">
        <f>"248030100916"</f>
        <v>248030100916</v>
      </c>
      <c r="L4917">
        <v>6320</v>
      </c>
      <c r="M4917" t="s">
        <v>5304</v>
      </c>
      <c r="N4917" t="str">
        <f>"248030100916"</f>
        <v>248030100916</v>
      </c>
      <c r="O4917" t="str">
        <f>"460002200203175826"</f>
        <v>460002200203175826</v>
      </c>
    </row>
    <row r="4918" customFormat="1" spans="1:15">
      <c r="A4918">
        <v>6321</v>
      </c>
      <c r="B4918" t="s">
        <v>5305</v>
      </c>
      <c r="C4918" t="str">
        <f>"460003199304073125"</f>
        <v>460003199304073125</v>
      </c>
      <c r="D4918" t="str">
        <f>"248030200808"</f>
        <v>248030200808</v>
      </c>
      <c r="L4918">
        <v>6321</v>
      </c>
      <c r="M4918" t="s">
        <v>5305</v>
      </c>
      <c r="N4918" t="str">
        <f>"248030200808"</f>
        <v>248030200808</v>
      </c>
      <c r="O4918" t="str">
        <f>"460003199304073125"</f>
        <v>460003199304073125</v>
      </c>
    </row>
    <row r="4919" customFormat="1" spans="1:15">
      <c r="A4919">
        <v>6322</v>
      </c>
      <c r="B4919" t="s">
        <v>5306</v>
      </c>
      <c r="C4919" t="str">
        <f>"36072419980717352X"</f>
        <v>36072419980717352X</v>
      </c>
      <c r="D4919" t="str">
        <f>"248030500103"</f>
        <v>248030500103</v>
      </c>
      <c r="L4919">
        <v>6322</v>
      </c>
      <c r="M4919" t="s">
        <v>5306</v>
      </c>
      <c r="N4919" t="str">
        <f>"248030500103"</f>
        <v>248030500103</v>
      </c>
      <c r="O4919" t="str">
        <f>"36072419980717352X"</f>
        <v>36072419980717352X</v>
      </c>
    </row>
    <row r="4920" customFormat="1" spans="1:15">
      <c r="A4920">
        <v>6323</v>
      </c>
      <c r="B4920" t="s">
        <v>5307</v>
      </c>
      <c r="C4920" t="str">
        <f>"460027199509085921"</f>
        <v>460027199509085921</v>
      </c>
      <c r="D4920" t="str">
        <f>"248030503914"</f>
        <v>248030503914</v>
      </c>
      <c r="L4920">
        <v>6323</v>
      </c>
      <c r="M4920" t="s">
        <v>5307</v>
      </c>
      <c r="N4920" t="str">
        <f>"248030503914"</f>
        <v>248030503914</v>
      </c>
      <c r="O4920" t="str">
        <f>"460027199509085921"</f>
        <v>460027199509085921</v>
      </c>
    </row>
    <row r="4921" customFormat="1" spans="1:15">
      <c r="A4921">
        <v>6324</v>
      </c>
      <c r="B4921" t="s">
        <v>5308</v>
      </c>
      <c r="C4921" t="str">
        <f>"460007199509100823"</f>
        <v>460007199509100823</v>
      </c>
      <c r="D4921" t="str">
        <f>"248030500118"</f>
        <v>248030500118</v>
      </c>
      <c r="L4921">
        <v>6324</v>
      </c>
      <c r="M4921" t="s">
        <v>5308</v>
      </c>
      <c r="N4921" t="str">
        <f>"248030500118"</f>
        <v>248030500118</v>
      </c>
      <c r="O4921" t="str">
        <f>"460007199509100823"</f>
        <v>460007199509100823</v>
      </c>
    </row>
    <row r="4922" customFormat="1" spans="1:15">
      <c r="A4922">
        <v>6325</v>
      </c>
      <c r="B4922" t="s">
        <v>5309</v>
      </c>
      <c r="C4922" t="str">
        <f>"460027199902236626"</f>
        <v>460027199902236626</v>
      </c>
      <c r="D4922" t="str">
        <f>"248030404201"</f>
        <v>248030404201</v>
      </c>
      <c r="L4922">
        <v>6325</v>
      </c>
      <c r="M4922" t="s">
        <v>5309</v>
      </c>
      <c r="N4922" t="str">
        <f>"248030404201"</f>
        <v>248030404201</v>
      </c>
      <c r="O4922" t="str">
        <f>"460027199902236626"</f>
        <v>460027199902236626</v>
      </c>
    </row>
    <row r="4923" customFormat="1" spans="1:15">
      <c r="A4923">
        <v>6326</v>
      </c>
      <c r="B4923" t="s">
        <v>5310</v>
      </c>
      <c r="C4923" t="str">
        <f>"469023200110089021"</f>
        <v>469023200110089021</v>
      </c>
      <c r="D4923" t="str">
        <f>"248030401911"</f>
        <v>248030401911</v>
      </c>
      <c r="L4923">
        <v>6326</v>
      </c>
      <c r="M4923" t="s">
        <v>5310</v>
      </c>
      <c r="N4923" t="str">
        <f>"248030401911"</f>
        <v>248030401911</v>
      </c>
      <c r="O4923" t="str">
        <f>"469023200110089021"</f>
        <v>469023200110089021</v>
      </c>
    </row>
    <row r="4924" customFormat="1" spans="1:15">
      <c r="A4924">
        <v>6327</v>
      </c>
      <c r="B4924" t="s">
        <v>5311</v>
      </c>
      <c r="C4924" t="str">
        <f>"460003200202284621"</f>
        <v>460003200202284621</v>
      </c>
      <c r="D4924" t="str">
        <f>"248030102906"</f>
        <v>248030102906</v>
      </c>
      <c r="L4924">
        <v>6327</v>
      </c>
      <c r="M4924" t="s">
        <v>5311</v>
      </c>
      <c r="N4924" t="str">
        <f>"248030102906"</f>
        <v>248030102906</v>
      </c>
      <c r="O4924" t="str">
        <f>"460003200202284621"</f>
        <v>460003200202284621</v>
      </c>
    </row>
    <row r="4925" customFormat="1" spans="1:15">
      <c r="A4925">
        <v>6328</v>
      </c>
      <c r="B4925" t="s">
        <v>5312</v>
      </c>
      <c r="C4925" t="str">
        <f>"460003200205072018"</f>
        <v>460003200205072018</v>
      </c>
      <c r="D4925" t="str">
        <f>"248030201912"</f>
        <v>248030201912</v>
      </c>
      <c r="L4925">
        <v>6328</v>
      </c>
      <c r="M4925" t="s">
        <v>5312</v>
      </c>
      <c r="N4925" t="str">
        <f>"248030201912"</f>
        <v>248030201912</v>
      </c>
      <c r="O4925" t="str">
        <f>"460003200205072018"</f>
        <v>460003200205072018</v>
      </c>
    </row>
    <row r="4926" customFormat="1" spans="1:15">
      <c r="A4926">
        <v>6329</v>
      </c>
      <c r="B4926" t="s">
        <v>5313</v>
      </c>
      <c r="C4926" t="str">
        <f>"460006199309224040"</f>
        <v>460006199309224040</v>
      </c>
      <c r="D4926" t="str">
        <f>"248030101005"</f>
        <v>248030101005</v>
      </c>
      <c r="L4926">
        <v>6329</v>
      </c>
      <c r="M4926" t="s">
        <v>5313</v>
      </c>
      <c r="N4926" t="str">
        <f>"248030101005"</f>
        <v>248030101005</v>
      </c>
      <c r="O4926" t="str">
        <f>"460006199309224040"</f>
        <v>460006199309224040</v>
      </c>
    </row>
    <row r="4927" customFormat="1" spans="1:15">
      <c r="A4927">
        <v>6331</v>
      </c>
      <c r="B4927" t="s">
        <v>5314</v>
      </c>
      <c r="C4927" t="str">
        <f>"460033199710224521"</f>
        <v>460033199710224521</v>
      </c>
      <c r="L4927">
        <v>6331</v>
      </c>
      <c r="M4927" t="s">
        <v>5314</v>
      </c>
      <c r="O4927" t="str">
        <f>"460033199710224521"</f>
        <v>460033199710224521</v>
      </c>
    </row>
    <row r="4928" customFormat="1" spans="1:15">
      <c r="A4928">
        <v>6333</v>
      </c>
      <c r="B4928" t="s">
        <v>5315</v>
      </c>
      <c r="C4928" t="str">
        <f>"411303199908075920"</f>
        <v>411303199908075920</v>
      </c>
      <c r="D4928" t="str">
        <f>"248030502005"</f>
        <v>248030502005</v>
      </c>
      <c r="L4928">
        <v>6333</v>
      </c>
      <c r="M4928" t="s">
        <v>5315</v>
      </c>
      <c r="N4928" t="str">
        <f>"248030502005"</f>
        <v>248030502005</v>
      </c>
      <c r="O4928" t="str">
        <f>"411303199908075920"</f>
        <v>411303199908075920</v>
      </c>
    </row>
    <row r="4929" customFormat="1" spans="1:15">
      <c r="A4929">
        <v>6334</v>
      </c>
      <c r="B4929" t="s">
        <v>5316</v>
      </c>
      <c r="C4929" t="str">
        <f>"460102199505160929"</f>
        <v>460102199505160929</v>
      </c>
      <c r="D4929" t="str">
        <f>"248030502527"</f>
        <v>248030502527</v>
      </c>
      <c r="L4929">
        <v>6334</v>
      </c>
      <c r="M4929" t="s">
        <v>5316</v>
      </c>
      <c r="N4929" t="str">
        <f>"248030502527"</f>
        <v>248030502527</v>
      </c>
      <c r="O4929" t="str">
        <f>"460102199505160929"</f>
        <v>460102199505160929</v>
      </c>
    </row>
    <row r="4930" customFormat="1" spans="1:15">
      <c r="A4930">
        <v>6335</v>
      </c>
      <c r="B4930" t="s">
        <v>5317</v>
      </c>
      <c r="C4930" t="str">
        <f>"460007200207203363"</f>
        <v>460007200207203363</v>
      </c>
      <c r="D4930" t="str">
        <f>"248030501016"</f>
        <v>248030501016</v>
      </c>
      <c r="L4930">
        <v>6335</v>
      </c>
      <c r="M4930" t="s">
        <v>5317</v>
      </c>
      <c r="N4930" t="str">
        <f>"248030501016"</f>
        <v>248030501016</v>
      </c>
      <c r="O4930" t="str">
        <f>"460007200207203363"</f>
        <v>460007200207203363</v>
      </c>
    </row>
    <row r="4931" customFormat="1" spans="1:15">
      <c r="A4931">
        <v>6336</v>
      </c>
      <c r="B4931" t="s">
        <v>5318</v>
      </c>
      <c r="C4931" t="str">
        <f>"460002199803131549"</f>
        <v>460002199803131549</v>
      </c>
      <c r="D4931" t="str">
        <f>"248030101025"</f>
        <v>248030101025</v>
      </c>
      <c r="L4931">
        <v>6336</v>
      </c>
      <c r="M4931" t="s">
        <v>5318</v>
      </c>
      <c r="N4931" t="str">
        <f>"248030101025"</f>
        <v>248030101025</v>
      </c>
      <c r="O4931" t="str">
        <f>"460002199803131549"</f>
        <v>460002199803131549</v>
      </c>
    </row>
    <row r="4932" customFormat="1" spans="1:15">
      <c r="A4932">
        <v>6338</v>
      </c>
      <c r="B4932" t="s">
        <v>5319</v>
      </c>
      <c r="C4932" t="str">
        <f>"460005199410156023"</f>
        <v>460005199410156023</v>
      </c>
      <c r="D4932" t="str">
        <f>"248030502101"</f>
        <v>248030502101</v>
      </c>
      <c r="L4932">
        <v>6338</v>
      </c>
      <c r="M4932" t="s">
        <v>5319</v>
      </c>
      <c r="N4932" t="str">
        <f>"248030502101"</f>
        <v>248030502101</v>
      </c>
      <c r="O4932" t="str">
        <f>"460005199410156023"</f>
        <v>460005199410156023</v>
      </c>
    </row>
    <row r="4933" customFormat="1" spans="1:15">
      <c r="A4933">
        <v>6339</v>
      </c>
      <c r="B4933" t="s">
        <v>5320</v>
      </c>
      <c r="C4933" t="str">
        <f>"520203199910312429"</f>
        <v>520203199910312429</v>
      </c>
      <c r="D4933" t="str">
        <f>"248030400825"</f>
        <v>248030400825</v>
      </c>
      <c r="L4933">
        <v>6339</v>
      </c>
      <c r="M4933" t="s">
        <v>5320</v>
      </c>
      <c r="N4933" t="str">
        <f>"248030400825"</f>
        <v>248030400825</v>
      </c>
      <c r="O4933" t="str">
        <f>"520203199910312429"</f>
        <v>520203199910312429</v>
      </c>
    </row>
    <row r="4934" customFormat="1" spans="1:15">
      <c r="A4934">
        <v>6340</v>
      </c>
      <c r="B4934" t="s">
        <v>5321</v>
      </c>
      <c r="C4934" t="str">
        <f>"460003199608261846"</f>
        <v>460003199608261846</v>
      </c>
      <c r="D4934" t="str">
        <f>"248030100111"</f>
        <v>248030100111</v>
      </c>
      <c r="L4934">
        <v>6340</v>
      </c>
      <c r="M4934" t="s">
        <v>5321</v>
      </c>
      <c r="N4934" t="str">
        <f>"248030100111"</f>
        <v>248030100111</v>
      </c>
      <c r="O4934" t="str">
        <f>"460003199608261846"</f>
        <v>460003199608261846</v>
      </c>
    </row>
    <row r="4935" customFormat="1" spans="1:15">
      <c r="A4935">
        <v>6343</v>
      </c>
      <c r="B4935" t="s">
        <v>5322</v>
      </c>
      <c r="C4935" t="str">
        <f>"460107200206070816"</f>
        <v>460107200206070816</v>
      </c>
      <c r="D4935" t="str">
        <f>"248030401928"</f>
        <v>248030401928</v>
      </c>
      <c r="L4935">
        <v>6343</v>
      </c>
      <c r="M4935" t="s">
        <v>5322</v>
      </c>
      <c r="N4935" t="str">
        <f>"248030401928"</f>
        <v>248030401928</v>
      </c>
      <c r="O4935" t="str">
        <f>"460107200206070816"</f>
        <v>460107200206070816</v>
      </c>
    </row>
    <row r="4936" customFormat="1" spans="1:15">
      <c r="A4936">
        <v>6344</v>
      </c>
      <c r="B4936" t="s">
        <v>5323</v>
      </c>
      <c r="C4936" t="str">
        <f>"46010219950706122X"</f>
        <v>46010219950706122X</v>
      </c>
      <c r="D4936" t="str">
        <f>"248030403703"</f>
        <v>248030403703</v>
      </c>
      <c r="L4936">
        <v>6344</v>
      </c>
      <c r="M4936" t="s">
        <v>5323</v>
      </c>
      <c r="N4936" t="str">
        <f>"248030403703"</f>
        <v>248030403703</v>
      </c>
      <c r="O4936" t="str">
        <f>"46010219950706122X"</f>
        <v>46010219950706122X</v>
      </c>
    </row>
    <row r="4937" customFormat="1" spans="1:15">
      <c r="A4937">
        <v>6347</v>
      </c>
      <c r="B4937" t="s">
        <v>471</v>
      </c>
      <c r="C4937" t="str">
        <f>"460027200005066618"</f>
        <v>460027200005066618</v>
      </c>
      <c r="D4937" t="str">
        <f>"248030201301"</f>
        <v>248030201301</v>
      </c>
      <c r="L4937">
        <v>6347</v>
      </c>
      <c r="M4937" t="s">
        <v>471</v>
      </c>
      <c r="N4937" t="str">
        <f>"248030201301"</f>
        <v>248030201301</v>
      </c>
      <c r="O4937" t="str">
        <f>"460027200005066618"</f>
        <v>460027200005066618</v>
      </c>
    </row>
    <row r="4938" customFormat="1" spans="1:15">
      <c r="A4938">
        <v>6348</v>
      </c>
      <c r="B4938" t="s">
        <v>5324</v>
      </c>
      <c r="C4938" t="str">
        <f>"460102199207160023"</f>
        <v>460102199207160023</v>
      </c>
      <c r="D4938" t="str">
        <f>"248030504225"</f>
        <v>248030504225</v>
      </c>
      <c r="L4938">
        <v>6348</v>
      </c>
      <c r="M4938" t="s">
        <v>5324</v>
      </c>
      <c r="N4938" t="str">
        <f>"248030504225"</f>
        <v>248030504225</v>
      </c>
      <c r="O4938" t="str">
        <f>"460102199207160023"</f>
        <v>460102199207160023</v>
      </c>
    </row>
    <row r="4939" customFormat="1" spans="1:15">
      <c r="A4939">
        <v>6350</v>
      </c>
      <c r="B4939" t="s">
        <v>5325</v>
      </c>
      <c r="C4939" t="str">
        <f>"460004199602075248"</f>
        <v>460004199602075248</v>
      </c>
      <c r="D4939" t="str">
        <f>"248030501317"</f>
        <v>248030501317</v>
      </c>
      <c r="L4939">
        <v>6350</v>
      </c>
      <c r="M4939" t="s">
        <v>5325</v>
      </c>
      <c r="N4939" t="str">
        <f>"248030501317"</f>
        <v>248030501317</v>
      </c>
      <c r="O4939" t="str">
        <f>"460004199602075248"</f>
        <v>460004199602075248</v>
      </c>
    </row>
    <row r="4940" customFormat="1" spans="1:15">
      <c r="A4940">
        <v>6351</v>
      </c>
      <c r="B4940" t="s">
        <v>5326</v>
      </c>
      <c r="C4940" t="str">
        <f>"320801200007030917"</f>
        <v>320801200007030917</v>
      </c>
      <c r="D4940" t="str">
        <f>"248030401005"</f>
        <v>248030401005</v>
      </c>
      <c r="L4940">
        <v>6351</v>
      </c>
      <c r="M4940" t="s">
        <v>5326</v>
      </c>
      <c r="N4940" t="str">
        <f>"248030401005"</f>
        <v>248030401005</v>
      </c>
      <c r="O4940" t="str">
        <f>"320801200007030917"</f>
        <v>320801200007030917</v>
      </c>
    </row>
    <row r="4941" customFormat="1" spans="1:15">
      <c r="A4941">
        <v>6352</v>
      </c>
      <c r="B4941" t="s">
        <v>517</v>
      </c>
      <c r="C4941" t="str">
        <f>"460033198912083224"</f>
        <v>460033198912083224</v>
      </c>
      <c r="D4941" t="str">
        <f>"248030403506"</f>
        <v>248030403506</v>
      </c>
      <c r="L4941">
        <v>6352</v>
      </c>
      <c r="M4941" t="s">
        <v>517</v>
      </c>
      <c r="N4941" t="str">
        <f>"248030403506"</f>
        <v>248030403506</v>
      </c>
      <c r="O4941" t="str">
        <f>"460033198912083224"</f>
        <v>460033198912083224</v>
      </c>
    </row>
    <row r="4942" customFormat="1" spans="1:15">
      <c r="A4942">
        <v>6353</v>
      </c>
      <c r="B4942" t="s">
        <v>5327</v>
      </c>
      <c r="C4942" t="str">
        <f>"46000520010708072X"</f>
        <v>46000520010708072X</v>
      </c>
      <c r="D4942" t="str">
        <f>"248030503601"</f>
        <v>248030503601</v>
      </c>
      <c r="L4942">
        <v>6353</v>
      </c>
      <c r="M4942" t="s">
        <v>5327</v>
      </c>
      <c r="N4942" t="str">
        <f>"248030503601"</f>
        <v>248030503601</v>
      </c>
      <c r="O4942" t="str">
        <f>"46000520010708072X"</f>
        <v>46000520010708072X</v>
      </c>
    </row>
    <row r="4943" customFormat="1" spans="1:15">
      <c r="A4943">
        <v>6354</v>
      </c>
      <c r="B4943" t="s">
        <v>5328</v>
      </c>
      <c r="C4943" t="str">
        <f>"460003199111130031"</f>
        <v>460003199111130031</v>
      </c>
      <c r="L4943">
        <v>6354</v>
      </c>
      <c r="M4943" t="s">
        <v>5328</v>
      </c>
      <c r="O4943" t="str">
        <f>"460003199111130031"</f>
        <v>460003199111130031</v>
      </c>
    </row>
    <row r="4944" customFormat="1" spans="1:15">
      <c r="A4944">
        <v>6355</v>
      </c>
      <c r="B4944" t="s">
        <v>5329</v>
      </c>
      <c r="C4944" t="str">
        <f>"460005200010090323"</f>
        <v>460005200010090323</v>
      </c>
      <c r="D4944" t="str">
        <f>"248030104102"</f>
        <v>248030104102</v>
      </c>
      <c r="L4944">
        <v>6355</v>
      </c>
      <c r="M4944" t="s">
        <v>5329</v>
      </c>
      <c r="N4944" t="str">
        <f>"248030104102"</f>
        <v>248030104102</v>
      </c>
      <c r="O4944" t="str">
        <f>"460005200010090323"</f>
        <v>460005200010090323</v>
      </c>
    </row>
    <row r="4945" customFormat="1" spans="1:15">
      <c r="A4945">
        <v>6356</v>
      </c>
      <c r="B4945" t="s">
        <v>5330</v>
      </c>
      <c r="C4945" t="str">
        <f>"341126200204011014"</f>
        <v>341126200204011014</v>
      </c>
      <c r="D4945" t="str">
        <f>"248030300622"</f>
        <v>248030300622</v>
      </c>
      <c r="L4945">
        <v>6356</v>
      </c>
      <c r="M4945" t="s">
        <v>5330</v>
      </c>
      <c r="N4945" t="str">
        <f>"248030300622"</f>
        <v>248030300622</v>
      </c>
      <c r="O4945" t="str">
        <f>"341126200204011014"</f>
        <v>341126200204011014</v>
      </c>
    </row>
    <row r="4946" customFormat="1" spans="1:15">
      <c r="A4946">
        <v>6357</v>
      </c>
      <c r="B4946" t="s">
        <v>5331</v>
      </c>
      <c r="C4946" t="str">
        <f>"46000319971012424X"</f>
        <v>46000319971012424X</v>
      </c>
      <c r="D4946" t="str">
        <f>"248030401519"</f>
        <v>248030401519</v>
      </c>
      <c r="L4946">
        <v>6357</v>
      </c>
      <c r="M4946" t="s">
        <v>5331</v>
      </c>
      <c r="N4946" t="str">
        <f>"248030401519"</f>
        <v>248030401519</v>
      </c>
      <c r="O4946" t="str">
        <f>"46000319971012424X"</f>
        <v>46000319971012424X</v>
      </c>
    </row>
    <row r="4947" customFormat="1" spans="1:15">
      <c r="A4947">
        <v>6359</v>
      </c>
      <c r="B4947" t="s">
        <v>5332</v>
      </c>
      <c r="C4947" t="str">
        <f>"460003199710082860"</f>
        <v>460003199710082860</v>
      </c>
      <c r="D4947" t="str">
        <f>"248030401714"</f>
        <v>248030401714</v>
      </c>
      <c r="L4947">
        <v>6359</v>
      </c>
      <c r="M4947" t="s">
        <v>5332</v>
      </c>
      <c r="N4947" t="str">
        <f>"248030401714"</f>
        <v>248030401714</v>
      </c>
      <c r="O4947" t="str">
        <f>"460003199710082860"</f>
        <v>460003199710082860</v>
      </c>
    </row>
    <row r="4948" customFormat="1" spans="1:15">
      <c r="A4948">
        <v>6360</v>
      </c>
      <c r="B4948" t="s">
        <v>5333</v>
      </c>
      <c r="C4948" t="str">
        <f>"460200199312302946"</f>
        <v>460200199312302946</v>
      </c>
      <c r="D4948" t="str">
        <f>"248030501416"</f>
        <v>248030501416</v>
      </c>
      <c r="L4948">
        <v>6360</v>
      </c>
      <c r="M4948" t="s">
        <v>5333</v>
      </c>
      <c r="N4948" t="str">
        <f>"248030501416"</f>
        <v>248030501416</v>
      </c>
      <c r="O4948" t="str">
        <f>"460200199312302946"</f>
        <v>460200199312302946</v>
      </c>
    </row>
    <row r="4949" customFormat="1" spans="1:15">
      <c r="A4949">
        <v>6362</v>
      </c>
      <c r="B4949" t="s">
        <v>5334</v>
      </c>
      <c r="C4949" t="str">
        <f>"460007199501146827"</f>
        <v>460007199501146827</v>
      </c>
      <c r="D4949" t="str">
        <f>"248030504302"</f>
        <v>248030504302</v>
      </c>
      <c r="L4949">
        <v>6362</v>
      </c>
      <c r="M4949" t="s">
        <v>5334</v>
      </c>
      <c r="N4949" t="str">
        <f>"248030504302"</f>
        <v>248030504302</v>
      </c>
      <c r="O4949" t="str">
        <f>"460007199501146827"</f>
        <v>460007199501146827</v>
      </c>
    </row>
    <row r="4950" customFormat="1" spans="1:15">
      <c r="A4950">
        <v>6363</v>
      </c>
      <c r="B4950" t="s">
        <v>5335</v>
      </c>
      <c r="C4950" t="str">
        <f>"230602200105144022"</f>
        <v>230602200105144022</v>
      </c>
      <c r="D4950" t="str">
        <f>"248030101628"</f>
        <v>248030101628</v>
      </c>
      <c r="L4950">
        <v>6363</v>
      </c>
      <c r="M4950" t="s">
        <v>5335</v>
      </c>
      <c r="N4950" t="str">
        <f>"248030101628"</f>
        <v>248030101628</v>
      </c>
      <c r="O4950" t="str">
        <f>"230602200105144022"</f>
        <v>230602200105144022</v>
      </c>
    </row>
    <row r="4951" customFormat="1" spans="1:15">
      <c r="A4951">
        <v>6364</v>
      </c>
      <c r="B4951" t="s">
        <v>5336</v>
      </c>
      <c r="C4951" t="str">
        <f>"230404199903160023"</f>
        <v>230404199903160023</v>
      </c>
      <c r="D4951" t="str">
        <f>"248030100201"</f>
        <v>248030100201</v>
      </c>
      <c r="L4951">
        <v>6364</v>
      </c>
      <c r="M4951" t="s">
        <v>5336</v>
      </c>
      <c r="N4951" t="str">
        <f>"248030100201"</f>
        <v>248030100201</v>
      </c>
      <c r="O4951" t="str">
        <f>"230404199903160023"</f>
        <v>230404199903160023</v>
      </c>
    </row>
    <row r="4952" customFormat="1" spans="1:15">
      <c r="A4952">
        <v>6365</v>
      </c>
      <c r="B4952" t="s">
        <v>5337</v>
      </c>
      <c r="C4952" t="str">
        <f>"460028200010200822"</f>
        <v>460028200010200822</v>
      </c>
      <c r="D4952" t="str">
        <f>"248030101328"</f>
        <v>248030101328</v>
      </c>
      <c r="L4952">
        <v>6365</v>
      </c>
      <c r="M4952" t="s">
        <v>5337</v>
      </c>
      <c r="N4952" t="str">
        <f>"248030101328"</f>
        <v>248030101328</v>
      </c>
      <c r="O4952" t="str">
        <f>"460028200010200822"</f>
        <v>460028200010200822</v>
      </c>
    </row>
    <row r="4953" customFormat="1" spans="1:15">
      <c r="A4953">
        <v>6366</v>
      </c>
      <c r="B4953" t="s">
        <v>5338</v>
      </c>
      <c r="C4953" t="str">
        <f>"460004200004265426"</f>
        <v>460004200004265426</v>
      </c>
      <c r="D4953" t="str">
        <f>"248030501513"</f>
        <v>248030501513</v>
      </c>
      <c r="L4953">
        <v>6366</v>
      </c>
      <c r="M4953" t="s">
        <v>5338</v>
      </c>
      <c r="N4953" t="str">
        <f>"248030501513"</f>
        <v>248030501513</v>
      </c>
      <c r="O4953" t="str">
        <f>"460004200004265426"</f>
        <v>460004200004265426</v>
      </c>
    </row>
    <row r="4954" customFormat="1" spans="1:15">
      <c r="A4954">
        <v>6367</v>
      </c>
      <c r="B4954" t="s">
        <v>5339</v>
      </c>
      <c r="C4954" t="str">
        <f>"460007199404087263"</f>
        <v>460007199404087263</v>
      </c>
      <c r="D4954" t="str">
        <f>"248030100628"</f>
        <v>248030100628</v>
      </c>
      <c r="L4954">
        <v>6367</v>
      </c>
      <c r="M4954" t="s">
        <v>5339</v>
      </c>
      <c r="N4954" t="str">
        <f>"248030100628"</f>
        <v>248030100628</v>
      </c>
      <c r="O4954" t="str">
        <f>"460007199404087263"</f>
        <v>460007199404087263</v>
      </c>
    </row>
    <row r="4955" customFormat="1" spans="1:15">
      <c r="A4955">
        <v>6368</v>
      </c>
      <c r="B4955" t="s">
        <v>5340</v>
      </c>
      <c r="C4955" t="str">
        <f>"460004200012070426"</f>
        <v>460004200012070426</v>
      </c>
      <c r="D4955" t="str">
        <f>"248030103510"</f>
        <v>248030103510</v>
      </c>
      <c r="L4955">
        <v>6368</v>
      </c>
      <c r="M4955" t="s">
        <v>5340</v>
      </c>
      <c r="N4955" t="str">
        <f>"248030103510"</f>
        <v>248030103510</v>
      </c>
      <c r="O4955" t="str">
        <f>"460004200012070426"</f>
        <v>460004200012070426</v>
      </c>
    </row>
    <row r="4956" customFormat="1" spans="1:15">
      <c r="A4956">
        <v>6369</v>
      </c>
      <c r="B4956" t="s">
        <v>5341</v>
      </c>
      <c r="C4956" t="str">
        <f>"130923199601243723"</f>
        <v>130923199601243723</v>
      </c>
      <c r="D4956" t="str">
        <f>"248030400913"</f>
        <v>248030400913</v>
      </c>
      <c r="L4956">
        <v>6369</v>
      </c>
      <c r="M4956" t="s">
        <v>5341</v>
      </c>
      <c r="N4956" t="str">
        <f>"248030400913"</f>
        <v>248030400913</v>
      </c>
      <c r="O4956" t="str">
        <f>"130923199601243723"</f>
        <v>130923199601243723</v>
      </c>
    </row>
    <row r="4957" customFormat="1" spans="1:15">
      <c r="A4957">
        <v>6370</v>
      </c>
      <c r="B4957" t="s">
        <v>5342</v>
      </c>
      <c r="C4957" t="str">
        <f>"421083199104084220"</f>
        <v>421083199104084220</v>
      </c>
      <c r="D4957" t="str">
        <f>"248030201422"</f>
        <v>248030201422</v>
      </c>
      <c r="L4957">
        <v>6370</v>
      </c>
      <c r="M4957" t="s">
        <v>5342</v>
      </c>
      <c r="N4957" t="str">
        <f>"248030201422"</f>
        <v>248030201422</v>
      </c>
      <c r="O4957" t="str">
        <f>"421083199104084220"</f>
        <v>421083199104084220</v>
      </c>
    </row>
    <row r="4958" customFormat="1" spans="1:15">
      <c r="A4958">
        <v>6371</v>
      </c>
      <c r="B4958" t="s">
        <v>5343</v>
      </c>
      <c r="C4958" t="str">
        <f>"460006200007260949"</f>
        <v>460006200007260949</v>
      </c>
      <c r="D4958" t="str">
        <f>"248030301412"</f>
        <v>248030301412</v>
      </c>
      <c r="L4958">
        <v>6371</v>
      </c>
      <c r="M4958" t="s">
        <v>5343</v>
      </c>
      <c r="N4958" t="str">
        <f>"248030301412"</f>
        <v>248030301412</v>
      </c>
      <c r="O4958" t="str">
        <f>"460006200007260949"</f>
        <v>460006200007260949</v>
      </c>
    </row>
    <row r="4959" customFormat="1" spans="1:15">
      <c r="A4959">
        <v>6372</v>
      </c>
      <c r="B4959" t="s">
        <v>5344</v>
      </c>
      <c r="C4959" t="str">
        <f>"469003198904036129"</f>
        <v>469003198904036129</v>
      </c>
      <c r="D4959" t="str">
        <f>"248030501413"</f>
        <v>248030501413</v>
      </c>
      <c r="L4959">
        <v>6372</v>
      </c>
      <c r="M4959" t="s">
        <v>5344</v>
      </c>
      <c r="N4959" t="str">
        <f>"248030501413"</f>
        <v>248030501413</v>
      </c>
      <c r="O4959" t="str">
        <f>"469003198904036129"</f>
        <v>469003198904036129</v>
      </c>
    </row>
    <row r="4960" customFormat="1" spans="1:15">
      <c r="A4960">
        <v>6373</v>
      </c>
      <c r="B4960" t="s">
        <v>5345</v>
      </c>
      <c r="C4960" t="str">
        <f>"469003199806155962"</f>
        <v>469003199806155962</v>
      </c>
      <c r="D4960" t="str">
        <f>"248030301404"</f>
        <v>248030301404</v>
      </c>
      <c r="L4960">
        <v>6373</v>
      </c>
      <c r="M4960" t="s">
        <v>5345</v>
      </c>
      <c r="N4960" t="str">
        <f>"248030301404"</f>
        <v>248030301404</v>
      </c>
      <c r="O4960" t="str">
        <f>"469003199806155962"</f>
        <v>469003199806155962</v>
      </c>
    </row>
    <row r="4961" customFormat="1" spans="1:15">
      <c r="A4961">
        <v>6374</v>
      </c>
      <c r="B4961" t="s">
        <v>5346</v>
      </c>
      <c r="C4961" t="str">
        <f>"460003199912032466"</f>
        <v>460003199912032466</v>
      </c>
      <c r="D4961" t="str">
        <f>"248030101308"</f>
        <v>248030101308</v>
      </c>
      <c r="L4961">
        <v>6374</v>
      </c>
      <c r="M4961" t="s">
        <v>5346</v>
      </c>
      <c r="N4961" t="str">
        <f>"248030101308"</f>
        <v>248030101308</v>
      </c>
      <c r="O4961" t="str">
        <f>"460003199912032466"</f>
        <v>460003199912032466</v>
      </c>
    </row>
    <row r="4962" customFormat="1" spans="1:15">
      <c r="A4962">
        <v>6375</v>
      </c>
      <c r="B4962" t="s">
        <v>5347</v>
      </c>
      <c r="C4962" t="str">
        <f>"460102199709233325"</f>
        <v>460102199709233325</v>
      </c>
      <c r="D4962" t="str">
        <f>"248030101010"</f>
        <v>248030101010</v>
      </c>
      <c r="L4962">
        <v>6375</v>
      </c>
      <c r="M4962" t="s">
        <v>5347</v>
      </c>
      <c r="N4962" t="str">
        <f>"248030101010"</f>
        <v>248030101010</v>
      </c>
      <c r="O4962" t="str">
        <f>"460102199709233325"</f>
        <v>460102199709233325</v>
      </c>
    </row>
    <row r="4963" customFormat="1" spans="1:15">
      <c r="A4963">
        <v>6376</v>
      </c>
      <c r="B4963" t="s">
        <v>5348</v>
      </c>
      <c r="C4963" t="str">
        <f>"460102199907162417"</f>
        <v>460102199907162417</v>
      </c>
      <c r="D4963" t="str">
        <f>"248030100912"</f>
        <v>248030100912</v>
      </c>
      <c r="L4963">
        <v>6376</v>
      </c>
      <c r="M4963" t="s">
        <v>5348</v>
      </c>
      <c r="N4963" t="str">
        <f>"248030100912"</f>
        <v>248030100912</v>
      </c>
      <c r="O4963" t="str">
        <f>"460102199907162417"</f>
        <v>460102199907162417</v>
      </c>
    </row>
    <row r="4964" customFormat="1" spans="1:15">
      <c r="A4964">
        <v>6378</v>
      </c>
      <c r="B4964" t="s">
        <v>5349</v>
      </c>
      <c r="C4964" t="str">
        <f>"460300199410200324"</f>
        <v>460300199410200324</v>
      </c>
      <c r="D4964" t="str">
        <f>"248030203709"</f>
        <v>248030203709</v>
      </c>
      <c r="L4964">
        <v>6378</v>
      </c>
      <c r="M4964" t="s">
        <v>5349</v>
      </c>
      <c r="N4964" t="str">
        <f>"248030203709"</f>
        <v>248030203709</v>
      </c>
      <c r="O4964" t="str">
        <f>"460300199410200324"</f>
        <v>460300199410200324</v>
      </c>
    </row>
    <row r="4965" customFormat="1" spans="1:15">
      <c r="A4965">
        <v>6379</v>
      </c>
      <c r="B4965" t="s">
        <v>5350</v>
      </c>
      <c r="C4965" t="str">
        <f>"44080319970219394X"</f>
        <v>44080319970219394X</v>
      </c>
      <c r="L4965">
        <v>6379</v>
      </c>
      <c r="M4965" t="s">
        <v>5350</v>
      </c>
      <c r="O4965" t="str">
        <f>"44080319970219394X"</f>
        <v>44080319970219394X</v>
      </c>
    </row>
    <row r="4966" customFormat="1" spans="1:15">
      <c r="A4966">
        <v>6380</v>
      </c>
      <c r="B4966" t="s">
        <v>5351</v>
      </c>
      <c r="C4966" t="str">
        <f>"460006199303152322"</f>
        <v>460006199303152322</v>
      </c>
      <c r="L4966">
        <v>6380</v>
      </c>
      <c r="M4966" t="s">
        <v>5351</v>
      </c>
      <c r="O4966" t="str">
        <f>"460006199303152322"</f>
        <v>460006199303152322</v>
      </c>
    </row>
    <row r="4967" customFormat="1" spans="1:15">
      <c r="A4967">
        <v>6381</v>
      </c>
      <c r="B4967" t="s">
        <v>5352</v>
      </c>
      <c r="C4967" t="str">
        <f>"460003199402041020"</f>
        <v>460003199402041020</v>
      </c>
      <c r="D4967" t="str">
        <f>"248030501919"</f>
        <v>248030501919</v>
      </c>
      <c r="L4967">
        <v>6381</v>
      </c>
      <c r="M4967" t="s">
        <v>5352</v>
      </c>
      <c r="N4967" t="str">
        <f>"248030501919"</f>
        <v>248030501919</v>
      </c>
      <c r="O4967" t="str">
        <f>"460003199402041020"</f>
        <v>460003199402041020</v>
      </c>
    </row>
    <row r="4968" customFormat="1" spans="1:15">
      <c r="A4968">
        <v>6382</v>
      </c>
      <c r="B4968" t="s">
        <v>5353</v>
      </c>
      <c r="C4968" t="str">
        <f>"532627199906081564"</f>
        <v>532627199906081564</v>
      </c>
      <c r="D4968" t="str">
        <f>"248030301525"</f>
        <v>248030301525</v>
      </c>
      <c r="L4968">
        <v>6382</v>
      </c>
      <c r="M4968" t="s">
        <v>5353</v>
      </c>
      <c r="N4968" t="str">
        <f>"248030301525"</f>
        <v>248030301525</v>
      </c>
      <c r="O4968" t="str">
        <f>"532627199906081564"</f>
        <v>532627199906081564</v>
      </c>
    </row>
    <row r="4969" customFormat="1" spans="1:15">
      <c r="A4969">
        <v>6384</v>
      </c>
      <c r="B4969" t="s">
        <v>1643</v>
      </c>
      <c r="C4969" t="str">
        <f>"460005200004051221"</f>
        <v>460005200004051221</v>
      </c>
      <c r="D4969" t="str">
        <f>"248030403929"</f>
        <v>248030403929</v>
      </c>
      <c r="L4969">
        <v>6384</v>
      </c>
      <c r="M4969" t="s">
        <v>1643</v>
      </c>
      <c r="N4969" t="str">
        <f>"248030403929"</f>
        <v>248030403929</v>
      </c>
      <c r="O4969" t="str">
        <f>"460005200004051221"</f>
        <v>460005200004051221</v>
      </c>
    </row>
    <row r="4970" customFormat="1" spans="1:15">
      <c r="A4970">
        <v>6385</v>
      </c>
      <c r="B4970" t="s">
        <v>5354</v>
      </c>
      <c r="C4970" t="str">
        <f>"460004199608050885"</f>
        <v>460004199608050885</v>
      </c>
      <c r="D4970" t="str">
        <f>"248030102701"</f>
        <v>248030102701</v>
      </c>
      <c r="L4970">
        <v>6385</v>
      </c>
      <c r="M4970" t="s">
        <v>5354</v>
      </c>
      <c r="N4970" t="str">
        <f>"248030102701"</f>
        <v>248030102701</v>
      </c>
      <c r="O4970" t="str">
        <f>"460004199608050885"</f>
        <v>460004199608050885</v>
      </c>
    </row>
    <row r="4971" customFormat="1" spans="1:15">
      <c r="A4971">
        <v>6386</v>
      </c>
      <c r="B4971" t="s">
        <v>512</v>
      </c>
      <c r="C4971" t="str">
        <f>"460004200110164629"</f>
        <v>460004200110164629</v>
      </c>
      <c r="D4971" t="str">
        <f>"248030300329"</f>
        <v>248030300329</v>
      </c>
      <c r="L4971">
        <v>6386</v>
      </c>
      <c r="M4971" t="s">
        <v>512</v>
      </c>
      <c r="N4971" t="str">
        <f>"248030300329"</f>
        <v>248030300329</v>
      </c>
      <c r="O4971" t="str">
        <f>"460004200110164629"</f>
        <v>460004200110164629</v>
      </c>
    </row>
    <row r="4972" customFormat="1" spans="1:15">
      <c r="A4972">
        <v>6387</v>
      </c>
      <c r="B4972" t="s">
        <v>1546</v>
      </c>
      <c r="C4972" t="str">
        <f>"23040419901210006X"</f>
        <v>23040419901210006X</v>
      </c>
      <c r="D4972" t="str">
        <f>"248030301010"</f>
        <v>248030301010</v>
      </c>
      <c r="L4972">
        <v>6387</v>
      </c>
      <c r="M4972" t="s">
        <v>1546</v>
      </c>
      <c r="N4972" t="str">
        <f>"248030301010"</f>
        <v>248030301010</v>
      </c>
      <c r="O4972" t="str">
        <f>"23040419901210006X"</f>
        <v>23040419901210006X</v>
      </c>
    </row>
    <row r="4973" customFormat="1" spans="1:15">
      <c r="A4973">
        <v>6388</v>
      </c>
      <c r="B4973" t="s">
        <v>5355</v>
      </c>
      <c r="C4973" t="str">
        <f>"231003198705011324"</f>
        <v>231003198705011324</v>
      </c>
      <c r="L4973">
        <v>6388</v>
      </c>
      <c r="M4973" t="s">
        <v>5355</v>
      </c>
      <c r="O4973" t="str">
        <f>"231003198705011324"</f>
        <v>231003198705011324</v>
      </c>
    </row>
    <row r="4974" customFormat="1" spans="1:15">
      <c r="A4974">
        <v>6389</v>
      </c>
      <c r="B4974" t="s">
        <v>5356</v>
      </c>
      <c r="C4974" t="str">
        <f>"460003199903102020"</f>
        <v>460003199903102020</v>
      </c>
      <c r="L4974">
        <v>6389</v>
      </c>
      <c r="M4974" t="s">
        <v>5356</v>
      </c>
      <c r="O4974" t="str">
        <f>"460003199903102020"</f>
        <v>460003199903102020</v>
      </c>
    </row>
    <row r="4975" customFormat="1" spans="1:15">
      <c r="A4975">
        <v>6390</v>
      </c>
      <c r="B4975" t="s">
        <v>5357</v>
      </c>
      <c r="C4975" t="str">
        <f>"460033199412070042"</f>
        <v>460033199412070042</v>
      </c>
      <c r="L4975">
        <v>6390</v>
      </c>
      <c r="M4975" t="s">
        <v>5357</v>
      </c>
      <c r="O4975" t="str">
        <f>"460033199412070042"</f>
        <v>460033199412070042</v>
      </c>
    </row>
    <row r="4976" customFormat="1" spans="1:15">
      <c r="A4976">
        <v>6391</v>
      </c>
      <c r="B4976" t="s">
        <v>5358</v>
      </c>
      <c r="C4976" t="str">
        <f>"411402199208251048"</f>
        <v>411402199208251048</v>
      </c>
      <c r="L4976">
        <v>6391</v>
      </c>
      <c r="M4976" t="s">
        <v>5358</v>
      </c>
      <c r="O4976" t="str">
        <f>"411402199208251048"</f>
        <v>411402199208251048</v>
      </c>
    </row>
    <row r="4977" customFormat="1" spans="1:15">
      <c r="A4977">
        <v>6392</v>
      </c>
      <c r="B4977" t="s">
        <v>5359</v>
      </c>
      <c r="C4977" t="str">
        <f>"469003200108042720"</f>
        <v>469003200108042720</v>
      </c>
      <c r="D4977" t="str">
        <f>"248030300712"</f>
        <v>248030300712</v>
      </c>
      <c r="L4977">
        <v>6392</v>
      </c>
      <c r="M4977" t="s">
        <v>5359</v>
      </c>
      <c r="N4977" t="str">
        <f>"248030300712"</f>
        <v>248030300712</v>
      </c>
      <c r="O4977" t="str">
        <f>"469003200108042720"</f>
        <v>469003200108042720</v>
      </c>
    </row>
    <row r="4978" customFormat="1" spans="1:15">
      <c r="A4978">
        <v>6393</v>
      </c>
      <c r="B4978" t="s">
        <v>5360</v>
      </c>
      <c r="C4978" t="str">
        <f>"620421199706170029"</f>
        <v>620421199706170029</v>
      </c>
      <c r="L4978">
        <v>6393</v>
      </c>
      <c r="M4978" t="s">
        <v>5360</v>
      </c>
      <c r="O4978" t="str">
        <f>"620421199706170029"</f>
        <v>620421199706170029</v>
      </c>
    </row>
    <row r="4979" customFormat="1" spans="1:15">
      <c r="A4979">
        <v>6394</v>
      </c>
      <c r="B4979" t="s">
        <v>1053</v>
      </c>
      <c r="C4979" t="str">
        <f>"460002199503221227"</f>
        <v>460002199503221227</v>
      </c>
      <c r="L4979">
        <v>6394</v>
      </c>
      <c r="M4979" t="s">
        <v>1053</v>
      </c>
      <c r="O4979" t="str">
        <f>"460002199503221227"</f>
        <v>460002199503221227</v>
      </c>
    </row>
    <row r="4980" customFormat="1" spans="1:15">
      <c r="A4980">
        <v>6396</v>
      </c>
      <c r="B4980" t="s">
        <v>5361</v>
      </c>
      <c r="C4980" t="str">
        <f>"460033200008083242"</f>
        <v>460033200008083242</v>
      </c>
      <c r="D4980" t="str">
        <f>"248030103416"</f>
        <v>248030103416</v>
      </c>
      <c r="L4980">
        <v>6396</v>
      </c>
      <c r="M4980" t="s">
        <v>5361</v>
      </c>
      <c r="N4980" t="str">
        <f>"248030103416"</f>
        <v>248030103416</v>
      </c>
      <c r="O4980" t="str">
        <f>"460033200008083242"</f>
        <v>460033200008083242</v>
      </c>
    </row>
    <row r="4981" customFormat="1" spans="1:15">
      <c r="A4981">
        <v>6397</v>
      </c>
      <c r="B4981" t="s">
        <v>5362</v>
      </c>
      <c r="C4981" t="str">
        <f>"330721199312226023"</f>
        <v>330721199312226023</v>
      </c>
      <c r="L4981">
        <v>6397</v>
      </c>
      <c r="M4981" t="s">
        <v>5362</v>
      </c>
      <c r="O4981" t="str">
        <f>"330721199312226023"</f>
        <v>330721199312226023</v>
      </c>
    </row>
    <row r="4982" customFormat="1" spans="1:15">
      <c r="A4982">
        <v>6398</v>
      </c>
      <c r="B4982" t="s">
        <v>5363</v>
      </c>
      <c r="C4982" t="str">
        <f>"460033199109074825"</f>
        <v>460033199109074825</v>
      </c>
      <c r="D4982" t="str">
        <f>"248030400510"</f>
        <v>248030400510</v>
      </c>
      <c r="L4982">
        <v>6398</v>
      </c>
      <c r="M4982" t="s">
        <v>5363</v>
      </c>
      <c r="N4982" t="str">
        <f>"248030400510"</f>
        <v>248030400510</v>
      </c>
      <c r="O4982" t="str">
        <f>"460033199109074825"</f>
        <v>460033199109074825</v>
      </c>
    </row>
    <row r="4983" customFormat="1" spans="1:15">
      <c r="A4983">
        <v>6399</v>
      </c>
      <c r="B4983" t="s">
        <v>5364</v>
      </c>
      <c r="C4983" t="str">
        <f>"460022199510054821"</f>
        <v>460022199510054821</v>
      </c>
      <c r="D4983" t="str">
        <f>"248030402928"</f>
        <v>248030402928</v>
      </c>
      <c r="L4983">
        <v>6399</v>
      </c>
      <c r="M4983" t="s">
        <v>5364</v>
      </c>
      <c r="N4983" t="str">
        <f>"248030402928"</f>
        <v>248030402928</v>
      </c>
      <c r="O4983" t="str">
        <f>"460022199510054821"</f>
        <v>460022199510054821</v>
      </c>
    </row>
    <row r="4984" customFormat="1" spans="1:15">
      <c r="A4984">
        <v>6401</v>
      </c>
      <c r="B4984" t="s">
        <v>5365</v>
      </c>
      <c r="C4984" t="str">
        <f>"460103199908301227"</f>
        <v>460103199908301227</v>
      </c>
      <c r="D4984" t="str">
        <f>"248030404315"</f>
        <v>248030404315</v>
      </c>
      <c r="L4984">
        <v>6401</v>
      </c>
      <c r="M4984" t="s">
        <v>5365</v>
      </c>
      <c r="N4984" t="str">
        <f>"248030404315"</f>
        <v>248030404315</v>
      </c>
      <c r="O4984" t="str">
        <f>"460103199908301227"</f>
        <v>460103199908301227</v>
      </c>
    </row>
    <row r="4985" customFormat="1" spans="1:15">
      <c r="A4985">
        <v>6402</v>
      </c>
      <c r="B4985" t="s">
        <v>5366</v>
      </c>
      <c r="C4985" t="str">
        <f>"460004198804272421"</f>
        <v>460004198804272421</v>
      </c>
      <c r="D4985" t="str">
        <f>"248030500208"</f>
        <v>248030500208</v>
      </c>
      <c r="L4985">
        <v>6402</v>
      </c>
      <c r="M4985" t="s">
        <v>5366</v>
      </c>
      <c r="N4985" t="str">
        <f>"248030500208"</f>
        <v>248030500208</v>
      </c>
      <c r="O4985" t="str">
        <f>"460004198804272421"</f>
        <v>460004198804272421</v>
      </c>
    </row>
    <row r="4986" customFormat="1" spans="1:15">
      <c r="A4986">
        <v>6403</v>
      </c>
      <c r="B4986" t="s">
        <v>5367</v>
      </c>
      <c r="C4986" t="str">
        <f>"460002200007064125"</f>
        <v>460002200007064125</v>
      </c>
      <c r="D4986" t="str">
        <f>"248030400906"</f>
        <v>248030400906</v>
      </c>
      <c r="L4986">
        <v>6403</v>
      </c>
      <c r="M4986" t="s">
        <v>5367</v>
      </c>
      <c r="N4986" t="str">
        <f>"248030400906"</f>
        <v>248030400906</v>
      </c>
      <c r="O4986" t="str">
        <f>"460002200007064125"</f>
        <v>460002200007064125</v>
      </c>
    </row>
    <row r="4987" customFormat="1" spans="1:15">
      <c r="A4987">
        <v>6404</v>
      </c>
      <c r="B4987" t="s">
        <v>5368</v>
      </c>
      <c r="C4987" t="str">
        <f>"46002219970120073X"</f>
        <v>46002219970120073X</v>
      </c>
      <c r="L4987">
        <v>6404</v>
      </c>
      <c r="M4987" t="s">
        <v>5368</v>
      </c>
      <c r="O4987" t="str">
        <f>"46002219970120073X"</f>
        <v>46002219970120073X</v>
      </c>
    </row>
    <row r="4988" customFormat="1" spans="1:15">
      <c r="A4988">
        <v>6406</v>
      </c>
      <c r="B4988" t="s">
        <v>5369</v>
      </c>
      <c r="C4988" t="str">
        <f>"469003200201172781"</f>
        <v>469003200201172781</v>
      </c>
      <c r="D4988" t="str">
        <f>"248030404021"</f>
        <v>248030404021</v>
      </c>
      <c r="L4988">
        <v>6406</v>
      </c>
      <c r="M4988" t="s">
        <v>5369</v>
      </c>
      <c r="N4988" t="str">
        <f>"248030404021"</f>
        <v>248030404021</v>
      </c>
      <c r="O4988" t="str">
        <f>"469003200201172781"</f>
        <v>469003200201172781</v>
      </c>
    </row>
    <row r="4989" customFormat="1" spans="1:15">
      <c r="A4989">
        <v>6407</v>
      </c>
      <c r="B4989" t="s">
        <v>5370</v>
      </c>
      <c r="C4989" t="str">
        <f>"420684199509131521"</f>
        <v>420684199509131521</v>
      </c>
      <c r="D4989" t="str">
        <f>"248030200410"</f>
        <v>248030200410</v>
      </c>
      <c r="L4989">
        <v>6407</v>
      </c>
      <c r="M4989" t="s">
        <v>5370</v>
      </c>
      <c r="N4989" t="str">
        <f>"248030200410"</f>
        <v>248030200410</v>
      </c>
      <c r="O4989" t="str">
        <f>"420684199509131521"</f>
        <v>420684199509131521</v>
      </c>
    </row>
    <row r="4990" customFormat="1" spans="1:15">
      <c r="A4990">
        <v>6408</v>
      </c>
      <c r="B4990" t="s">
        <v>5371</v>
      </c>
      <c r="C4990" t="str">
        <f>"460103199008301221"</f>
        <v>460103199008301221</v>
      </c>
      <c r="L4990">
        <v>6408</v>
      </c>
      <c r="M4990" t="s">
        <v>5371</v>
      </c>
      <c r="O4990" t="str">
        <f>"460103199008301221"</f>
        <v>460103199008301221</v>
      </c>
    </row>
    <row r="4991" customFormat="1" spans="1:15">
      <c r="A4991">
        <v>6409</v>
      </c>
      <c r="B4991" t="s">
        <v>5372</v>
      </c>
      <c r="C4991" t="str">
        <f>"42068219990724502X"</f>
        <v>42068219990724502X</v>
      </c>
      <c r="D4991" t="str">
        <f>"248030302730"</f>
        <v>248030302730</v>
      </c>
      <c r="L4991">
        <v>6409</v>
      </c>
      <c r="M4991" t="s">
        <v>5372</v>
      </c>
      <c r="N4991" t="str">
        <f>"248030302730"</f>
        <v>248030302730</v>
      </c>
      <c r="O4991" t="str">
        <f>"42068219990724502X"</f>
        <v>42068219990724502X</v>
      </c>
    </row>
    <row r="4992" customFormat="1" spans="1:15">
      <c r="A4992">
        <v>6411</v>
      </c>
      <c r="B4992" t="s">
        <v>5373</v>
      </c>
      <c r="C4992" t="str">
        <f>"460200199107063149"</f>
        <v>460200199107063149</v>
      </c>
      <c r="D4992" t="str">
        <f>"248030102123"</f>
        <v>248030102123</v>
      </c>
      <c r="L4992">
        <v>6411</v>
      </c>
      <c r="M4992" t="s">
        <v>5373</v>
      </c>
      <c r="N4992" t="str">
        <f>"248030102123"</f>
        <v>248030102123</v>
      </c>
      <c r="O4992" t="str">
        <f>"460200199107063149"</f>
        <v>460200199107063149</v>
      </c>
    </row>
    <row r="4993" customFormat="1" spans="1:15">
      <c r="A4993">
        <v>6412</v>
      </c>
      <c r="B4993" t="s">
        <v>5374</v>
      </c>
      <c r="C4993" t="str">
        <f>"469007199301200866"</f>
        <v>469007199301200866</v>
      </c>
      <c r="D4993" t="str">
        <f>"248030102805"</f>
        <v>248030102805</v>
      </c>
      <c r="L4993">
        <v>6412</v>
      </c>
      <c r="M4993" t="s">
        <v>5374</v>
      </c>
      <c r="N4993" t="str">
        <f>"248030102805"</f>
        <v>248030102805</v>
      </c>
      <c r="O4993" t="str">
        <f>"469007199301200866"</f>
        <v>469007199301200866</v>
      </c>
    </row>
    <row r="4994" customFormat="1" spans="1:15">
      <c r="A4994">
        <v>6413</v>
      </c>
      <c r="B4994" t="s">
        <v>5375</v>
      </c>
      <c r="C4994" t="str">
        <f>"450902200107150028"</f>
        <v>450902200107150028</v>
      </c>
      <c r="D4994" t="str">
        <f>"248030100109"</f>
        <v>248030100109</v>
      </c>
      <c r="L4994">
        <v>6413</v>
      </c>
      <c r="M4994" t="s">
        <v>5375</v>
      </c>
      <c r="N4994" t="str">
        <f>"248030100109"</f>
        <v>248030100109</v>
      </c>
      <c r="O4994" t="str">
        <f>"450902200107150028"</f>
        <v>450902200107150028</v>
      </c>
    </row>
    <row r="4995" customFormat="1" spans="1:15">
      <c r="A4995">
        <v>6414</v>
      </c>
      <c r="B4995" t="s">
        <v>5376</v>
      </c>
      <c r="C4995" t="str">
        <f>"460003199511094228"</f>
        <v>460003199511094228</v>
      </c>
      <c r="D4995" t="str">
        <f>"248030102113"</f>
        <v>248030102113</v>
      </c>
      <c r="L4995">
        <v>6414</v>
      </c>
      <c r="M4995" t="s">
        <v>5376</v>
      </c>
      <c r="N4995" t="str">
        <f>"248030102113"</f>
        <v>248030102113</v>
      </c>
      <c r="O4995" t="str">
        <f>"460003199511094228"</f>
        <v>460003199511094228</v>
      </c>
    </row>
    <row r="4996" customFormat="1" spans="1:15">
      <c r="A4996">
        <v>6415</v>
      </c>
      <c r="B4996" t="s">
        <v>5377</v>
      </c>
      <c r="C4996" t="str">
        <f>"371502198501115529"</f>
        <v>371502198501115529</v>
      </c>
      <c r="D4996" t="str">
        <f>"248030501404"</f>
        <v>248030501404</v>
      </c>
      <c r="L4996">
        <v>6415</v>
      </c>
      <c r="M4996" t="s">
        <v>5377</v>
      </c>
      <c r="N4996" t="str">
        <f>"248030501404"</f>
        <v>248030501404</v>
      </c>
      <c r="O4996" t="str">
        <f>"371502198501115529"</f>
        <v>371502198501115529</v>
      </c>
    </row>
    <row r="4997" customFormat="1" spans="1:15">
      <c r="A4997">
        <v>6416</v>
      </c>
      <c r="B4997" t="s">
        <v>5378</v>
      </c>
      <c r="C4997" t="str">
        <f>"460300200012280010"</f>
        <v>460300200012280010</v>
      </c>
      <c r="D4997" t="str">
        <f>"248030301323"</f>
        <v>248030301323</v>
      </c>
      <c r="L4997">
        <v>6416</v>
      </c>
      <c r="M4997" t="s">
        <v>5378</v>
      </c>
      <c r="N4997" t="str">
        <f>"248030301323"</f>
        <v>248030301323</v>
      </c>
      <c r="O4997" t="str">
        <f>"460300200012280010"</f>
        <v>460300200012280010</v>
      </c>
    </row>
    <row r="4998" customFormat="1" spans="1:15">
      <c r="A4998">
        <v>6418</v>
      </c>
      <c r="B4998" t="s">
        <v>5379</v>
      </c>
      <c r="C4998" t="str">
        <f>"460025200101054227"</f>
        <v>460025200101054227</v>
      </c>
      <c r="D4998" t="str">
        <f>"248030100314"</f>
        <v>248030100314</v>
      </c>
      <c r="L4998">
        <v>6418</v>
      </c>
      <c r="M4998" t="s">
        <v>5379</v>
      </c>
      <c r="N4998" t="str">
        <f>"248030100314"</f>
        <v>248030100314</v>
      </c>
      <c r="O4998" t="str">
        <f>"460025200101054227"</f>
        <v>460025200101054227</v>
      </c>
    </row>
    <row r="4999" customFormat="1" spans="1:15">
      <c r="A4999">
        <v>6419</v>
      </c>
      <c r="B4999" t="s">
        <v>5380</v>
      </c>
      <c r="C4999" t="str">
        <f>"372930199704034457"</f>
        <v>372930199704034457</v>
      </c>
      <c r="D4999" t="str">
        <f>"248030301420"</f>
        <v>248030301420</v>
      </c>
      <c r="L4999">
        <v>6419</v>
      </c>
      <c r="M4999" t="s">
        <v>5380</v>
      </c>
      <c r="N4999" t="str">
        <f>"248030301420"</f>
        <v>248030301420</v>
      </c>
      <c r="O4999" t="str">
        <f>"372930199704034457"</f>
        <v>372930199704034457</v>
      </c>
    </row>
    <row r="5000" customFormat="1" spans="1:15">
      <c r="A5000">
        <v>6421</v>
      </c>
      <c r="B5000" t="s">
        <v>5381</v>
      </c>
      <c r="C5000" t="str">
        <f>"460027198706055962"</f>
        <v>460027198706055962</v>
      </c>
      <c r="D5000" t="str">
        <f>"248030402319"</f>
        <v>248030402319</v>
      </c>
      <c r="L5000">
        <v>6421</v>
      </c>
      <c r="M5000" t="s">
        <v>5381</v>
      </c>
      <c r="N5000" t="str">
        <f>"248030402319"</f>
        <v>248030402319</v>
      </c>
      <c r="O5000" t="str">
        <f>"460027198706055962"</f>
        <v>460027198706055962</v>
      </c>
    </row>
    <row r="5001" customFormat="1" spans="1:15">
      <c r="A5001">
        <v>6423</v>
      </c>
      <c r="B5001" t="s">
        <v>5382</v>
      </c>
      <c r="C5001" t="str">
        <f>"430104200207281223"</f>
        <v>430104200207281223</v>
      </c>
      <c r="D5001" t="str">
        <f>"248030202723"</f>
        <v>248030202723</v>
      </c>
      <c r="L5001">
        <v>6423</v>
      </c>
      <c r="M5001" t="s">
        <v>5382</v>
      </c>
      <c r="N5001" t="str">
        <f>"248030202723"</f>
        <v>248030202723</v>
      </c>
      <c r="O5001" t="str">
        <f>"430104200207281223"</f>
        <v>430104200207281223</v>
      </c>
    </row>
    <row r="5002" customFormat="1" spans="1:15">
      <c r="A5002">
        <v>6424</v>
      </c>
      <c r="B5002" t="s">
        <v>5383</v>
      </c>
      <c r="C5002" t="str">
        <f>"411122199010108704"</f>
        <v>411122199010108704</v>
      </c>
      <c r="D5002" t="str">
        <f>"248030503015"</f>
        <v>248030503015</v>
      </c>
      <c r="L5002">
        <v>6424</v>
      </c>
      <c r="M5002" t="s">
        <v>5383</v>
      </c>
      <c r="N5002" t="str">
        <f>"248030503015"</f>
        <v>248030503015</v>
      </c>
      <c r="O5002" t="str">
        <f>"411122199010108704"</f>
        <v>411122199010108704</v>
      </c>
    </row>
    <row r="5003" customFormat="1" spans="1:15">
      <c r="A5003">
        <v>6425</v>
      </c>
      <c r="B5003" t="s">
        <v>5384</v>
      </c>
      <c r="C5003" t="str">
        <f>"610527200006031324"</f>
        <v>610527200006031324</v>
      </c>
      <c r="D5003" t="str">
        <f>"248030503423"</f>
        <v>248030503423</v>
      </c>
      <c r="L5003">
        <v>6425</v>
      </c>
      <c r="M5003" t="s">
        <v>5384</v>
      </c>
      <c r="N5003" t="str">
        <f>"248030503423"</f>
        <v>248030503423</v>
      </c>
      <c r="O5003" t="str">
        <f>"610527200006031324"</f>
        <v>610527200006031324</v>
      </c>
    </row>
    <row r="5004" customFormat="1" spans="1:15">
      <c r="A5004">
        <v>6426</v>
      </c>
      <c r="B5004" t="s">
        <v>3730</v>
      </c>
      <c r="C5004" t="str">
        <f>"460200199306094466"</f>
        <v>460200199306094466</v>
      </c>
      <c r="L5004">
        <v>6426</v>
      </c>
      <c r="M5004" t="s">
        <v>3730</v>
      </c>
      <c r="O5004" t="str">
        <f>"460200199306094466"</f>
        <v>460200199306094466</v>
      </c>
    </row>
    <row r="5005" customFormat="1" spans="1:15">
      <c r="A5005">
        <v>6427</v>
      </c>
      <c r="B5005" t="s">
        <v>5385</v>
      </c>
      <c r="C5005" t="str">
        <f>"460006200207070621"</f>
        <v>460006200207070621</v>
      </c>
      <c r="D5005" t="str">
        <f>"248030503216"</f>
        <v>248030503216</v>
      </c>
      <c r="L5005">
        <v>6427</v>
      </c>
      <c r="M5005" t="s">
        <v>5385</v>
      </c>
      <c r="N5005" t="str">
        <f>"248030503216"</f>
        <v>248030503216</v>
      </c>
      <c r="O5005" t="str">
        <f>"460006200207070621"</f>
        <v>460006200207070621</v>
      </c>
    </row>
    <row r="5006" customFormat="1" spans="1:15">
      <c r="A5006">
        <v>6428</v>
      </c>
      <c r="B5006" t="s">
        <v>5386</v>
      </c>
      <c r="C5006" t="str">
        <f>"460003199510092263"</f>
        <v>460003199510092263</v>
      </c>
      <c r="L5006">
        <v>6428</v>
      </c>
      <c r="M5006" t="s">
        <v>5386</v>
      </c>
      <c r="O5006" t="str">
        <f>"460003199510092263"</f>
        <v>460003199510092263</v>
      </c>
    </row>
    <row r="5007" customFormat="1" spans="1:15">
      <c r="A5007">
        <v>6429</v>
      </c>
      <c r="B5007" t="s">
        <v>5387</v>
      </c>
      <c r="C5007" t="str">
        <f>"460003199908254015"</f>
        <v>460003199908254015</v>
      </c>
      <c r="D5007" t="str">
        <f>"248030202023"</f>
        <v>248030202023</v>
      </c>
      <c r="L5007">
        <v>6429</v>
      </c>
      <c r="M5007" t="s">
        <v>5387</v>
      </c>
      <c r="N5007" t="str">
        <f>"248030202023"</f>
        <v>248030202023</v>
      </c>
      <c r="O5007" t="str">
        <f>"460003199908254015"</f>
        <v>460003199908254015</v>
      </c>
    </row>
    <row r="5008" customFormat="1" spans="1:15">
      <c r="A5008">
        <v>6430</v>
      </c>
      <c r="B5008" t="s">
        <v>5388</v>
      </c>
      <c r="C5008" t="str">
        <f>"469003199406192422"</f>
        <v>469003199406192422</v>
      </c>
      <c r="D5008" t="str">
        <f>"248030500326"</f>
        <v>248030500326</v>
      </c>
      <c r="L5008">
        <v>6430</v>
      </c>
      <c r="M5008" t="s">
        <v>5388</v>
      </c>
      <c r="N5008" t="str">
        <f>"248030500326"</f>
        <v>248030500326</v>
      </c>
      <c r="O5008" t="str">
        <f>"469003199406192422"</f>
        <v>469003199406192422</v>
      </c>
    </row>
    <row r="5009" customFormat="1" spans="1:15">
      <c r="A5009">
        <v>6432</v>
      </c>
      <c r="B5009" t="s">
        <v>5389</v>
      </c>
      <c r="C5009" t="str">
        <f>"460103199908232727"</f>
        <v>460103199908232727</v>
      </c>
      <c r="D5009" t="str">
        <f>"248030502614"</f>
        <v>248030502614</v>
      </c>
      <c r="L5009">
        <v>6432</v>
      </c>
      <c r="M5009" t="s">
        <v>5389</v>
      </c>
      <c r="N5009" t="str">
        <f>"248030502614"</f>
        <v>248030502614</v>
      </c>
      <c r="O5009" t="str">
        <f>"460103199908232727"</f>
        <v>460103199908232727</v>
      </c>
    </row>
    <row r="5010" customFormat="1" spans="1:15">
      <c r="A5010">
        <v>6433</v>
      </c>
      <c r="B5010" t="s">
        <v>5390</v>
      </c>
      <c r="C5010" t="str">
        <f>"460003199908124667"</f>
        <v>460003199908124667</v>
      </c>
      <c r="D5010" t="str">
        <f>"248030100206"</f>
        <v>248030100206</v>
      </c>
      <c r="L5010">
        <v>6433</v>
      </c>
      <c r="M5010" t="s">
        <v>5390</v>
      </c>
      <c r="N5010" t="str">
        <f>"248030100206"</f>
        <v>248030100206</v>
      </c>
      <c r="O5010" t="str">
        <f>"460003199908124667"</f>
        <v>460003199908124667</v>
      </c>
    </row>
    <row r="5011" customFormat="1" spans="1:15">
      <c r="A5011">
        <v>6434</v>
      </c>
      <c r="B5011" t="s">
        <v>5391</v>
      </c>
      <c r="C5011" t="str">
        <f>"469005200111200526"</f>
        <v>469005200111200526</v>
      </c>
      <c r="D5011" t="str">
        <f>"248030301217"</f>
        <v>248030301217</v>
      </c>
      <c r="L5011">
        <v>6434</v>
      </c>
      <c r="M5011" t="s">
        <v>5391</v>
      </c>
      <c r="N5011" t="str">
        <f>"248030301217"</f>
        <v>248030301217</v>
      </c>
      <c r="O5011" t="str">
        <f>"469005200111200526"</f>
        <v>469005200111200526</v>
      </c>
    </row>
    <row r="5012" customFormat="1" spans="1:15">
      <c r="A5012">
        <v>6435</v>
      </c>
      <c r="B5012" t="s">
        <v>5392</v>
      </c>
      <c r="C5012" t="str">
        <f>"460005199811210326"</f>
        <v>460005199811210326</v>
      </c>
      <c r="D5012" t="str">
        <f>"248030503823"</f>
        <v>248030503823</v>
      </c>
      <c r="L5012">
        <v>6435</v>
      </c>
      <c r="M5012" t="s">
        <v>5392</v>
      </c>
      <c r="N5012" t="str">
        <f>"248030503823"</f>
        <v>248030503823</v>
      </c>
      <c r="O5012" t="str">
        <f>"460005199811210326"</f>
        <v>460005199811210326</v>
      </c>
    </row>
    <row r="5013" customFormat="1" spans="1:15">
      <c r="A5013">
        <v>6437</v>
      </c>
      <c r="B5013" t="s">
        <v>5393</v>
      </c>
      <c r="C5013" t="str">
        <f>"530122200105161120"</f>
        <v>530122200105161120</v>
      </c>
      <c r="D5013" t="str">
        <f>"248030203822"</f>
        <v>248030203822</v>
      </c>
      <c r="L5013">
        <v>6437</v>
      </c>
      <c r="M5013" t="s">
        <v>5393</v>
      </c>
      <c r="N5013" t="str">
        <f>"248030203822"</f>
        <v>248030203822</v>
      </c>
      <c r="O5013" t="str">
        <f>"530122200105161120"</f>
        <v>530122200105161120</v>
      </c>
    </row>
    <row r="5014" customFormat="1" spans="1:15">
      <c r="A5014">
        <v>6439</v>
      </c>
      <c r="B5014" t="s">
        <v>5394</v>
      </c>
      <c r="C5014" t="str">
        <f>"460003200212202423"</f>
        <v>460003200212202423</v>
      </c>
      <c r="D5014" t="str">
        <f>"248030101003"</f>
        <v>248030101003</v>
      </c>
      <c r="L5014">
        <v>6439</v>
      </c>
      <c r="M5014" t="s">
        <v>5394</v>
      </c>
      <c r="N5014" t="str">
        <f>"248030101003"</f>
        <v>248030101003</v>
      </c>
      <c r="O5014" t="str">
        <f>"460003200212202423"</f>
        <v>460003200212202423</v>
      </c>
    </row>
    <row r="5015" customFormat="1" spans="1:15">
      <c r="A5015">
        <v>6440</v>
      </c>
      <c r="B5015" t="s">
        <v>5395</v>
      </c>
      <c r="C5015" t="str">
        <f>"460105199706064449"</f>
        <v>460105199706064449</v>
      </c>
      <c r="L5015">
        <v>6440</v>
      </c>
      <c r="M5015" t="s">
        <v>5395</v>
      </c>
      <c r="O5015" t="str">
        <f>"460105199706064449"</f>
        <v>460105199706064449</v>
      </c>
    </row>
    <row r="5016" customFormat="1" spans="1:15">
      <c r="A5016">
        <v>6441</v>
      </c>
      <c r="B5016" t="s">
        <v>5396</v>
      </c>
      <c r="C5016" t="str">
        <f>"460007200102126154"</f>
        <v>460007200102126154</v>
      </c>
      <c r="D5016" t="str">
        <f>"248030202016"</f>
        <v>248030202016</v>
      </c>
      <c r="L5016">
        <v>6441</v>
      </c>
      <c r="M5016" t="s">
        <v>5396</v>
      </c>
      <c r="N5016" t="str">
        <f>"248030202016"</f>
        <v>248030202016</v>
      </c>
      <c r="O5016" t="str">
        <f>"460007200102126154"</f>
        <v>460007200102126154</v>
      </c>
    </row>
    <row r="5017" customFormat="1" spans="1:15">
      <c r="A5017">
        <v>6442</v>
      </c>
      <c r="B5017" t="s">
        <v>5397</v>
      </c>
      <c r="C5017" t="str">
        <f>"654325200004190329"</f>
        <v>654325200004190329</v>
      </c>
      <c r="D5017" t="str">
        <f>"248030202823"</f>
        <v>248030202823</v>
      </c>
      <c r="L5017">
        <v>6442</v>
      </c>
      <c r="M5017" t="s">
        <v>5397</v>
      </c>
      <c r="N5017" t="str">
        <f>"248030202823"</f>
        <v>248030202823</v>
      </c>
      <c r="O5017" t="str">
        <f>"654325200004190329"</f>
        <v>654325200004190329</v>
      </c>
    </row>
    <row r="5018" customFormat="1" spans="1:15">
      <c r="A5018">
        <v>6443</v>
      </c>
      <c r="B5018" t="s">
        <v>5398</v>
      </c>
      <c r="C5018" t="str">
        <f>"460031200211211243"</f>
        <v>460031200211211243</v>
      </c>
      <c r="D5018" t="str">
        <f>"248030503117"</f>
        <v>248030503117</v>
      </c>
      <c r="L5018">
        <v>6443</v>
      </c>
      <c r="M5018" t="s">
        <v>5398</v>
      </c>
      <c r="N5018" t="str">
        <f>"248030503117"</f>
        <v>248030503117</v>
      </c>
      <c r="O5018" t="str">
        <f>"460031200211211243"</f>
        <v>460031200211211243</v>
      </c>
    </row>
    <row r="5019" customFormat="1" spans="1:15">
      <c r="A5019">
        <v>6445</v>
      </c>
      <c r="B5019" t="s">
        <v>5399</v>
      </c>
      <c r="C5019" t="str">
        <f>"460033199904045089"</f>
        <v>460033199904045089</v>
      </c>
      <c r="D5019" t="str">
        <f>"248030500813"</f>
        <v>248030500813</v>
      </c>
      <c r="L5019">
        <v>6445</v>
      </c>
      <c r="M5019" t="s">
        <v>5399</v>
      </c>
      <c r="N5019" t="str">
        <f>"248030500813"</f>
        <v>248030500813</v>
      </c>
      <c r="O5019" t="str">
        <f>"460033199904045089"</f>
        <v>460033199904045089</v>
      </c>
    </row>
    <row r="5020" customFormat="1" spans="1:15">
      <c r="A5020">
        <v>6446</v>
      </c>
      <c r="B5020" t="s">
        <v>5400</v>
      </c>
      <c r="C5020" t="str">
        <f>"469024200002016518"</f>
        <v>469024200002016518</v>
      </c>
      <c r="D5020" t="str">
        <f>"248030200205"</f>
        <v>248030200205</v>
      </c>
      <c r="L5020">
        <v>6446</v>
      </c>
      <c r="M5020" t="s">
        <v>5400</v>
      </c>
      <c r="N5020" t="str">
        <f>"248030200205"</f>
        <v>248030200205</v>
      </c>
      <c r="O5020" t="str">
        <f>"469024200002016518"</f>
        <v>469024200002016518</v>
      </c>
    </row>
    <row r="5021" customFormat="1" spans="1:15">
      <c r="A5021">
        <v>6447</v>
      </c>
      <c r="B5021" t="s">
        <v>5401</v>
      </c>
      <c r="C5021" t="str">
        <f>"460003199505274441"</f>
        <v>460003199505274441</v>
      </c>
      <c r="D5021" t="str">
        <f>"248030300724"</f>
        <v>248030300724</v>
      </c>
      <c r="L5021">
        <v>6447</v>
      </c>
      <c r="M5021" t="s">
        <v>5401</v>
      </c>
      <c r="N5021" t="str">
        <f>"248030300724"</f>
        <v>248030300724</v>
      </c>
      <c r="O5021" t="str">
        <f>"460003199505274441"</f>
        <v>460003199505274441</v>
      </c>
    </row>
    <row r="5022" customFormat="1" spans="1:15">
      <c r="A5022">
        <v>6449</v>
      </c>
      <c r="B5022" t="s">
        <v>5402</v>
      </c>
      <c r="C5022" t="str">
        <f>"460102200109280326"</f>
        <v>460102200109280326</v>
      </c>
      <c r="D5022" t="str">
        <f>"248030102606"</f>
        <v>248030102606</v>
      </c>
      <c r="L5022">
        <v>6449</v>
      </c>
      <c r="M5022" t="s">
        <v>5402</v>
      </c>
      <c r="N5022" t="str">
        <f>"248030102606"</f>
        <v>248030102606</v>
      </c>
      <c r="O5022" t="str">
        <f>"460102200109280326"</f>
        <v>460102200109280326</v>
      </c>
    </row>
    <row r="5023" customFormat="1" spans="1:15">
      <c r="A5023">
        <v>6450</v>
      </c>
      <c r="B5023" t="s">
        <v>5403</v>
      </c>
      <c r="C5023" t="str">
        <f>"460105200101060029"</f>
        <v>460105200101060029</v>
      </c>
      <c r="D5023" t="str">
        <f>"248030503130"</f>
        <v>248030503130</v>
      </c>
      <c r="L5023">
        <v>6450</v>
      </c>
      <c r="M5023" t="s">
        <v>5403</v>
      </c>
      <c r="N5023" t="str">
        <f>"248030503130"</f>
        <v>248030503130</v>
      </c>
      <c r="O5023" t="str">
        <f>"460105200101060029"</f>
        <v>460105200101060029</v>
      </c>
    </row>
    <row r="5024" customFormat="1" spans="1:15">
      <c r="A5024">
        <v>6451</v>
      </c>
      <c r="B5024" t="s">
        <v>5404</v>
      </c>
      <c r="C5024" t="str">
        <f>"460028199804060029"</f>
        <v>460028199804060029</v>
      </c>
      <c r="D5024" t="str">
        <f>"248030102007"</f>
        <v>248030102007</v>
      </c>
      <c r="L5024">
        <v>6451</v>
      </c>
      <c r="M5024" t="s">
        <v>5404</v>
      </c>
      <c r="N5024" t="str">
        <f>"248030102007"</f>
        <v>248030102007</v>
      </c>
      <c r="O5024" t="str">
        <f>"460028199804060029"</f>
        <v>460028199804060029</v>
      </c>
    </row>
    <row r="5025" customFormat="1" spans="1:15">
      <c r="A5025">
        <v>6453</v>
      </c>
      <c r="B5025" t="s">
        <v>236</v>
      </c>
      <c r="C5025" t="str">
        <f>"460028200108230026"</f>
        <v>460028200108230026</v>
      </c>
      <c r="D5025" t="str">
        <f>"248030102227"</f>
        <v>248030102227</v>
      </c>
      <c r="L5025">
        <v>6453</v>
      </c>
      <c r="M5025" t="s">
        <v>236</v>
      </c>
      <c r="N5025" t="str">
        <f>"248030102227"</f>
        <v>248030102227</v>
      </c>
      <c r="O5025" t="str">
        <f>"460028200108230026"</f>
        <v>460028200108230026</v>
      </c>
    </row>
    <row r="5026" customFormat="1" spans="1:15">
      <c r="A5026">
        <v>6454</v>
      </c>
      <c r="B5026" t="s">
        <v>5405</v>
      </c>
      <c r="C5026" t="str">
        <f>"460003199109282626"</f>
        <v>460003199109282626</v>
      </c>
      <c r="D5026" t="str">
        <f>"248030400601"</f>
        <v>248030400601</v>
      </c>
      <c r="L5026">
        <v>6454</v>
      </c>
      <c r="M5026" t="s">
        <v>5405</v>
      </c>
      <c r="N5026" t="str">
        <f>"248030400601"</f>
        <v>248030400601</v>
      </c>
      <c r="O5026" t="str">
        <f>"460003199109282626"</f>
        <v>460003199109282626</v>
      </c>
    </row>
    <row r="5027" customFormat="1" spans="1:15">
      <c r="A5027">
        <v>6455</v>
      </c>
      <c r="B5027" t="s">
        <v>5406</v>
      </c>
      <c r="C5027" t="str">
        <f>"460003199709122423"</f>
        <v>460003199709122423</v>
      </c>
      <c r="D5027" t="str">
        <f>"248030201010"</f>
        <v>248030201010</v>
      </c>
      <c r="L5027">
        <v>6455</v>
      </c>
      <c r="M5027" t="s">
        <v>5406</v>
      </c>
      <c r="N5027" t="str">
        <f>"248030201010"</f>
        <v>248030201010</v>
      </c>
      <c r="O5027" t="str">
        <f>"460003199709122423"</f>
        <v>460003199709122423</v>
      </c>
    </row>
    <row r="5028" customFormat="1" spans="1:15">
      <c r="A5028">
        <v>6456</v>
      </c>
      <c r="B5028" t="s">
        <v>5407</v>
      </c>
      <c r="C5028" t="str">
        <f>"460031199704085622"</f>
        <v>460031199704085622</v>
      </c>
      <c r="D5028" t="str">
        <f>"248030102024"</f>
        <v>248030102024</v>
      </c>
      <c r="L5028">
        <v>6456</v>
      </c>
      <c r="M5028" t="s">
        <v>5407</v>
      </c>
      <c r="N5028" t="str">
        <f>"248030102024"</f>
        <v>248030102024</v>
      </c>
      <c r="O5028" t="str">
        <f>"460031199704085622"</f>
        <v>460031199704085622</v>
      </c>
    </row>
    <row r="5029" customFormat="1" spans="1:15">
      <c r="A5029">
        <v>6457</v>
      </c>
      <c r="B5029" t="s">
        <v>5408</v>
      </c>
      <c r="C5029" t="str">
        <f>"460200199910070524"</f>
        <v>460200199910070524</v>
      </c>
      <c r="D5029" t="str">
        <f>"248030500520"</f>
        <v>248030500520</v>
      </c>
      <c r="L5029">
        <v>6457</v>
      </c>
      <c r="M5029" t="s">
        <v>5408</v>
      </c>
      <c r="N5029" t="str">
        <f>"248030500520"</f>
        <v>248030500520</v>
      </c>
      <c r="O5029" t="str">
        <f>"460200199910070524"</f>
        <v>460200199910070524</v>
      </c>
    </row>
    <row r="5030" customFormat="1" spans="1:15">
      <c r="A5030">
        <v>6458</v>
      </c>
      <c r="B5030" t="s">
        <v>5409</v>
      </c>
      <c r="C5030" t="str">
        <f>"460108200206162311"</f>
        <v>460108200206162311</v>
      </c>
      <c r="D5030" t="str">
        <f>"248030100923"</f>
        <v>248030100923</v>
      </c>
      <c r="L5030">
        <v>6458</v>
      </c>
      <c r="M5030" t="s">
        <v>5409</v>
      </c>
      <c r="N5030" t="str">
        <f>"248030100923"</f>
        <v>248030100923</v>
      </c>
      <c r="O5030" t="str">
        <f>"460108200206162311"</f>
        <v>460108200206162311</v>
      </c>
    </row>
    <row r="5031" customFormat="1" spans="1:15">
      <c r="A5031">
        <v>6459</v>
      </c>
      <c r="B5031" t="s">
        <v>5410</v>
      </c>
      <c r="C5031" t="str">
        <f>"622827199707093522"</f>
        <v>622827199707093522</v>
      </c>
      <c r="D5031" t="str">
        <f>"248030101203"</f>
        <v>248030101203</v>
      </c>
      <c r="L5031">
        <v>6459</v>
      </c>
      <c r="M5031" t="s">
        <v>5410</v>
      </c>
      <c r="N5031" t="str">
        <f>"248030101203"</f>
        <v>248030101203</v>
      </c>
      <c r="O5031" t="str">
        <f>"622827199707093522"</f>
        <v>622827199707093522</v>
      </c>
    </row>
    <row r="5032" customFormat="1" spans="1:15">
      <c r="A5032">
        <v>6460</v>
      </c>
      <c r="B5032" t="s">
        <v>607</v>
      </c>
      <c r="C5032" t="str">
        <f>"460026200207291526"</f>
        <v>460026200207291526</v>
      </c>
      <c r="D5032" t="str">
        <f>"248030103826"</f>
        <v>248030103826</v>
      </c>
      <c r="L5032">
        <v>6460</v>
      </c>
      <c r="M5032" t="s">
        <v>607</v>
      </c>
      <c r="N5032" t="str">
        <f>"248030103826"</f>
        <v>248030103826</v>
      </c>
      <c r="O5032" t="str">
        <f>"460026200207291526"</f>
        <v>460026200207291526</v>
      </c>
    </row>
    <row r="5033" customFormat="1" spans="1:15">
      <c r="A5033">
        <v>6462</v>
      </c>
      <c r="B5033" t="s">
        <v>5411</v>
      </c>
      <c r="C5033" t="str">
        <f>"460025199509250621"</f>
        <v>460025199509250621</v>
      </c>
      <c r="D5033" t="str">
        <f>"248030101319"</f>
        <v>248030101319</v>
      </c>
      <c r="L5033">
        <v>6462</v>
      </c>
      <c r="M5033" t="s">
        <v>5411</v>
      </c>
      <c r="N5033" t="str">
        <f>"248030101319"</f>
        <v>248030101319</v>
      </c>
      <c r="O5033" t="str">
        <f>"460025199509250621"</f>
        <v>460025199509250621</v>
      </c>
    </row>
    <row r="5034" customFormat="1" spans="1:15">
      <c r="A5034">
        <v>6463</v>
      </c>
      <c r="B5034" t="s">
        <v>5412</v>
      </c>
      <c r="C5034" t="str">
        <f>"460003199710183223"</f>
        <v>460003199710183223</v>
      </c>
      <c r="L5034">
        <v>6463</v>
      </c>
      <c r="M5034" t="s">
        <v>5412</v>
      </c>
      <c r="O5034" t="str">
        <f>"460003199710183223"</f>
        <v>460003199710183223</v>
      </c>
    </row>
    <row r="5035" customFormat="1" spans="1:15">
      <c r="A5035">
        <v>6464</v>
      </c>
      <c r="B5035" t="s">
        <v>5413</v>
      </c>
      <c r="C5035" t="str">
        <f>"460007198809213366"</f>
        <v>460007198809213366</v>
      </c>
      <c r="D5035" t="str">
        <f>"248030403617"</f>
        <v>248030403617</v>
      </c>
      <c r="L5035">
        <v>6464</v>
      </c>
      <c r="M5035" t="s">
        <v>5413</v>
      </c>
      <c r="N5035" t="str">
        <f>"248030403617"</f>
        <v>248030403617</v>
      </c>
      <c r="O5035" t="str">
        <f>"460007198809213366"</f>
        <v>460007198809213366</v>
      </c>
    </row>
    <row r="5036" customFormat="1" spans="1:15">
      <c r="A5036">
        <v>6465</v>
      </c>
      <c r="B5036" t="s">
        <v>5414</v>
      </c>
      <c r="C5036" t="str">
        <f>"460006199709201622"</f>
        <v>460006199709201622</v>
      </c>
      <c r="L5036">
        <v>6465</v>
      </c>
      <c r="M5036" t="s">
        <v>5414</v>
      </c>
      <c r="O5036" t="str">
        <f>"460006199709201622"</f>
        <v>460006199709201622</v>
      </c>
    </row>
    <row r="5037" customFormat="1" spans="1:15">
      <c r="A5037">
        <v>6467</v>
      </c>
      <c r="B5037" t="s">
        <v>5415</v>
      </c>
      <c r="C5037" t="str">
        <f>"46002820000726522X"</f>
        <v>46002820000726522X</v>
      </c>
      <c r="D5037" t="str">
        <f>"248030503707"</f>
        <v>248030503707</v>
      </c>
      <c r="L5037">
        <v>6467</v>
      </c>
      <c r="M5037" t="s">
        <v>5415</v>
      </c>
      <c r="N5037" t="str">
        <f>"248030503707"</f>
        <v>248030503707</v>
      </c>
      <c r="O5037" t="str">
        <f>"46002820000726522X"</f>
        <v>46002820000726522X</v>
      </c>
    </row>
    <row r="5038" customFormat="1" spans="1:15">
      <c r="A5038">
        <v>6468</v>
      </c>
      <c r="B5038" t="s">
        <v>5416</v>
      </c>
      <c r="C5038" t="str">
        <f>"460022199711076226"</f>
        <v>460022199711076226</v>
      </c>
      <c r="D5038" t="str">
        <f>"248030102529"</f>
        <v>248030102529</v>
      </c>
      <c r="L5038">
        <v>6468</v>
      </c>
      <c r="M5038" t="s">
        <v>5416</v>
      </c>
      <c r="N5038" t="str">
        <f>"248030102529"</f>
        <v>248030102529</v>
      </c>
      <c r="O5038" t="str">
        <f>"460022199711076226"</f>
        <v>460022199711076226</v>
      </c>
    </row>
    <row r="5039" customFormat="1" spans="1:15">
      <c r="A5039">
        <v>6469</v>
      </c>
      <c r="B5039" t="s">
        <v>137</v>
      </c>
      <c r="C5039" t="str">
        <f>"460004199201204029"</f>
        <v>460004199201204029</v>
      </c>
      <c r="D5039" t="str">
        <f>"248030403629"</f>
        <v>248030403629</v>
      </c>
      <c r="L5039">
        <v>6469</v>
      </c>
      <c r="M5039" t="s">
        <v>137</v>
      </c>
      <c r="N5039" t="str">
        <f>"248030403629"</f>
        <v>248030403629</v>
      </c>
      <c r="O5039" t="str">
        <f>"460004199201204029"</f>
        <v>460004199201204029</v>
      </c>
    </row>
    <row r="5040" customFormat="1" spans="1:15">
      <c r="A5040">
        <v>6470</v>
      </c>
      <c r="B5040" t="s">
        <v>5417</v>
      </c>
      <c r="C5040" t="str">
        <f>"469027200212064808"</f>
        <v>469027200212064808</v>
      </c>
      <c r="D5040" t="str">
        <f>"248030103703"</f>
        <v>248030103703</v>
      </c>
      <c r="L5040">
        <v>6470</v>
      </c>
      <c r="M5040" t="s">
        <v>5417</v>
      </c>
      <c r="N5040" t="str">
        <f>"248030103703"</f>
        <v>248030103703</v>
      </c>
      <c r="O5040" t="str">
        <f>"469027200212064808"</f>
        <v>469027200212064808</v>
      </c>
    </row>
    <row r="5041" customFormat="1" spans="1:15">
      <c r="A5041">
        <v>6472</v>
      </c>
      <c r="B5041" t="s">
        <v>5418</v>
      </c>
      <c r="C5041" t="str">
        <f>"460105200210315422"</f>
        <v>460105200210315422</v>
      </c>
      <c r="D5041" t="str">
        <f>"248030501715"</f>
        <v>248030501715</v>
      </c>
      <c r="L5041">
        <v>6472</v>
      </c>
      <c r="M5041" t="s">
        <v>5418</v>
      </c>
      <c r="N5041" t="str">
        <f>"248030501715"</f>
        <v>248030501715</v>
      </c>
      <c r="O5041" t="str">
        <f>"460105200210315422"</f>
        <v>460105200210315422</v>
      </c>
    </row>
    <row r="5042" customFormat="1" spans="1:15">
      <c r="A5042">
        <v>6474</v>
      </c>
      <c r="B5042" t="s">
        <v>439</v>
      </c>
      <c r="C5042" t="str">
        <f>"46000420010710641X"</f>
        <v>46000420010710641X</v>
      </c>
      <c r="D5042" t="str">
        <f>"248030102512"</f>
        <v>248030102512</v>
      </c>
      <c r="L5042">
        <v>6474</v>
      </c>
      <c r="M5042" t="s">
        <v>439</v>
      </c>
      <c r="N5042" t="str">
        <f>"248030102512"</f>
        <v>248030102512</v>
      </c>
      <c r="O5042" t="str">
        <f>"46000420010710641X"</f>
        <v>46000420010710641X</v>
      </c>
    </row>
    <row r="5043" customFormat="1" spans="1:15">
      <c r="A5043">
        <v>6475</v>
      </c>
      <c r="B5043" t="s">
        <v>5419</v>
      </c>
      <c r="C5043" t="str">
        <f>"460026199411274824"</f>
        <v>460026199411274824</v>
      </c>
      <c r="D5043" t="str">
        <f>"248030203927"</f>
        <v>248030203927</v>
      </c>
      <c r="L5043">
        <v>6475</v>
      </c>
      <c r="M5043" t="s">
        <v>5419</v>
      </c>
      <c r="N5043" t="str">
        <f>"248030203927"</f>
        <v>248030203927</v>
      </c>
      <c r="O5043" t="str">
        <f>"460026199411274824"</f>
        <v>460026199411274824</v>
      </c>
    </row>
    <row r="5044" customFormat="1" spans="1:15">
      <c r="A5044">
        <v>6476</v>
      </c>
      <c r="B5044" t="s">
        <v>5420</v>
      </c>
      <c r="C5044" t="str">
        <f>"460031199502236840"</f>
        <v>460031199502236840</v>
      </c>
      <c r="D5044" t="str">
        <f>"248030403321"</f>
        <v>248030403321</v>
      </c>
      <c r="L5044">
        <v>6476</v>
      </c>
      <c r="M5044" t="s">
        <v>5420</v>
      </c>
      <c r="N5044" t="str">
        <f>"248030403321"</f>
        <v>248030403321</v>
      </c>
      <c r="O5044" t="str">
        <f>"460031199502236840"</f>
        <v>460031199502236840</v>
      </c>
    </row>
    <row r="5045" customFormat="1" spans="1:15">
      <c r="A5045">
        <v>6477</v>
      </c>
      <c r="B5045" t="s">
        <v>5421</v>
      </c>
      <c r="C5045" t="str">
        <f>"460004199610260427"</f>
        <v>460004199610260427</v>
      </c>
      <c r="D5045" t="str">
        <f>"248030502606"</f>
        <v>248030502606</v>
      </c>
      <c r="L5045">
        <v>6477</v>
      </c>
      <c r="M5045" t="s">
        <v>5421</v>
      </c>
      <c r="N5045" t="str">
        <f>"248030502606"</f>
        <v>248030502606</v>
      </c>
      <c r="O5045" t="str">
        <f>"460004199610260427"</f>
        <v>460004199610260427</v>
      </c>
    </row>
    <row r="5046" customFormat="1" spans="1:15">
      <c r="A5046">
        <v>6478</v>
      </c>
      <c r="B5046" t="s">
        <v>5422</v>
      </c>
      <c r="C5046" t="str">
        <f>"430682200006041027"</f>
        <v>430682200006041027</v>
      </c>
      <c r="L5046">
        <v>6478</v>
      </c>
      <c r="M5046" t="s">
        <v>5422</v>
      </c>
      <c r="O5046" t="str">
        <f>"430682200006041027"</f>
        <v>430682200006041027</v>
      </c>
    </row>
    <row r="5047" customFormat="1" spans="1:15">
      <c r="A5047">
        <v>6479</v>
      </c>
      <c r="B5047" t="s">
        <v>5423</v>
      </c>
      <c r="C5047" t="str">
        <f>"46000419990206062X"</f>
        <v>46000419990206062X</v>
      </c>
      <c r="D5047" t="str">
        <f>"248030504203"</f>
        <v>248030504203</v>
      </c>
      <c r="L5047">
        <v>6479</v>
      </c>
      <c r="M5047" t="s">
        <v>5423</v>
      </c>
      <c r="N5047" t="str">
        <f>"248030504203"</f>
        <v>248030504203</v>
      </c>
      <c r="O5047" t="str">
        <f>"46000419990206062X"</f>
        <v>46000419990206062X</v>
      </c>
    </row>
    <row r="5048" customFormat="1" spans="1:15">
      <c r="A5048">
        <v>6480</v>
      </c>
      <c r="B5048" t="s">
        <v>5424</v>
      </c>
      <c r="C5048" t="str">
        <f>"460028199810047242"</f>
        <v>460028199810047242</v>
      </c>
      <c r="D5048" t="str">
        <f>"248030103810"</f>
        <v>248030103810</v>
      </c>
      <c r="L5048">
        <v>6480</v>
      </c>
      <c r="M5048" t="s">
        <v>5424</v>
      </c>
      <c r="N5048" t="str">
        <f>"248030103810"</f>
        <v>248030103810</v>
      </c>
      <c r="O5048" t="str">
        <f>"460028199810047242"</f>
        <v>460028199810047242</v>
      </c>
    </row>
    <row r="5049" customFormat="1" spans="1:15">
      <c r="A5049">
        <v>6481</v>
      </c>
      <c r="B5049" t="s">
        <v>5425</v>
      </c>
      <c r="C5049" t="str">
        <f>"340826199504074043"</f>
        <v>340826199504074043</v>
      </c>
      <c r="L5049">
        <v>6481</v>
      </c>
      <c r="M5049" t="s">
        <v>5425</v>
      </c>
      <c r="O5049" t="str">
        <f>"340826199504074043"</f>
        <v>340826199504074043</v>
      </c>
    </row>
    <row r="5050" customFormat="1" spans="1:15">
      <c r="A5050">
        <v>6482</v>
      </c>
      <c r="B5050" t="s">
        <v>5426</v>
      </c>
      <c r="C5050" t="str">
        <f>"460026199304053049"</f>
        <v>460026199304053049</v>
      </c>
      <c r="D5050" t="str">
        <f>"248030103710"</f>
        <v>248030103710</v>
      </c>
      <c r="L5050">
        <v>6482</v>
      </c>
      <c r="M5050" t="s">
        <v>5426</v>
      </c>
      <c r="N5050" t="str">
        <f>"248030103710"</f>
        <v>248030103710</v>
      </c>
      <c r="O5050" t="str">
        <f>"460026199304053049"</f>
        <v>460026199304053049</v>
      </c>
    </row>
    <row r="5051" customFormat="1" spans="1:15">
      <c r="A5051">
        <v>6483</v>
      </c>
      <c r="B5051" t="s">
        <v>5427</v>
      </c>
      <c r="C5051" t="str">
        <f>"460003199007285228"</f>
        <v>460003199007285228</v>
      </c>
      <c r="D5051" t="str">
        <f>"248030502815"</f>
        <v>248030502815</v>
      </c>
      <c r="L5051">
        <v>6483</v>
      </c>
      <c r="M5051" t="s">
        <v>5427</v>
      </c>
      <c r="N5051" t="str">
        <f>"248030502815"</f>
        <v>248030502815</v>
      </c>
      <c r="O5051" t="str">
        <f>"460003199007285228"</f>
        <v>460003199007285228</v>
      </c>
    </row>
    <row r="5052" customFormat="1" spans="1:15">
      <c r="A5052">
        <v>6484</v>
      </c>
      <c r="B5052" t="s">
        <v>5428</v>
      </c>
      <c r="C5052" t="str">
        <f>"460026199406182124"</f>
        <v>460026199406182124</v>
      </c>
      <c r="D5052" t="str">
        <f>"248030403026"</f>
        <v>248030403026</v>
      </c>
      <c r="L5052">
        <v>6484</v>
      </c>
      <c r="M5052" t="s">
        <v>5428</v>
      </c>
      <c r="N5052" t="str">
        <f>"248030403026"</f>
        <v>248030403026</v>
      </c>
      <c r="O5052" t="str">
        <f>"460026199406182124"</f>
        <v>460026199406182124</v>
      </c>
    </row>
    <row r="5053" customFormat="1" spans="1:15">
      <c r="A5053">
        <v>6485</v>
      </c>
      <c r="B5053" t="s">
        <v>5429</v>
      </c>
      <c r="C5053" t="str">
        <f>"460004199404210621"</f>
        <v>460004199404210621</v>
      </c>
      <c r="D5053" t="str">
        <f>"248030501822"</f>
        <v>248030501822</v>
      </c>
      <c r="L5053">
        <v>6485</v>
      </c>
      <c r="M5053" t="s">
        <v>5429</v>
      </c>
      <c r="N5053" t="str">
        <f>"248030501822"</f>
        <v>248030501822</v>
      </c>
      <c r="O5053" t="str">
        <f>"460004199404210621"</f>
        <v>460004199404210621</v>
      </c>
    </row>
    <row r="5054" customFormat="1" spans="1:15">
      <c r="A5054">
        <v>6486</v>
      </c>
      <c r="B5054" t="s">
        <v>5430</v>
      </c>
      <c r="C5054" t="str">
        <f>"420683199009106729"</f>
        <v>420683199009106729</v>
      </c>
      <c r="D5054" t="str">
        <f>"248030400419"</f>
        <v>248030400419</v>
      </c>
      <c r="L5054">
        <v>6486</v>
      </c>
      <c r="M5054" t="s">
        <v>5430</v>
      </c>
      <c r="N5054" t="str">
        <f>"248030400419"</f>
        <v>248030400419</v>
      </c>
      <c r="O5054" t="str">
        <f>"420683199009106729"</f>
        <v>420683199009106729</v>
      </c>
    </row>
    <row r="5055" customFormat="1" spans="1:15">
      <c r="A5055">
        <v>6487</v>
      </c>
      <c r="B5055" t="s">
        <v>5431</v>
      </c>
      <c r="C5055" t="str">
        <f>"460033199811223886"</f>
        <v>460033199811223886</v>
      </c>
      <c r="D5055" t="str">
        <f>"248030203619"</f>
        <v>248030203619</v>
      </c>
      <c r="L5055">
        <v>6487</v>
      </c>
      <c r="M5055" t="s">
        <v>5431</v>
      </c>
      <c r="N5055" t="str">
        <f>"248030203619"</f>
        <v>248030203619</v>
      </c>
      <c r="O5055" t="str">
        <f>"460033199811223886"</f>
        <v>460033199811223886</v>
      </c>
    </row>
    <row r="5056" customFormat="1" spans="1:15">
      <c r="A5056">
        <v>6488</v>
      </c>
      <c r="B5056" t="s">
        <v>5432</v>
      </c>
      <c r="C5056" t="str">
        <f>"460003200001173044"</f>
        <v>460003200001173044</v>
      </c>
      <c r="D5056" t="str">
        <f>"248030302101"</f>
        <v>248030302101</v>
      </c>
      <c r="L5056">
        <v>6488</v>
      </c>
      <c r="M5056" t="s">
        <v>5432</v>
      </c>
      <c r="N5056" t="str">
        <f>"248030302101"</f>
        <v>248030302101</v>
      </c>
      <c r="O5056" t="str">
        <f>"460003200001173044"</f>
        <v>460003200001173044</v>
      </c>
    </row>
    <row r="5057" customFormat="1" spans="1:15">
      <c r="A5057">
        <v>6489</v>
      </c>
      <c r="B5057" t="s">
        <v>5433</v>
      </c>
      <c r="C5057" t="str">
        <f>"460036199806032427"</f>
        <v>460036199806032427</v>
      </c>
      <c r="D5057" t="str">
        <f>"248030104317"</f>
        <v>248030104317</v>
      </c>
      <c r="L5057">
        <v>6489</v>
      </c>
      <c r="M5057" t="s">
        <v>5433</v>
      </c>
      <c r="N5057" t="str">
        <f>"248030104317"</f>
        <v>248030104317</v>
      </c>
      <c r="O5057" t="str">
        <f>"460036199806032427"</f>
        <v>460036199806032427</v>
      </c>
    </row>
    <row r="5058" customFormat="1" spans="1:15">
      <c r="A5058">
        <v>6490</v>
      </c>
      <c r="B5058" t="s">
        <v>5434</v>
      </c>
      <c r="C5058" t="str">
        <f>"511902200004214516"</f>
        <v>511902200004214516</v>
      </c>
      <c r="D5058" t="str">
        <f>"248030102129"</f>
        <v>248030102129</v>
      </c>
      <c r="L5058">
        <v>6490</v>
      </c>
      <c r="M5058" t="s">
        <v>5434</v>
      </c>
      <c r="N5058" t="str">
        <f>"248030102129"</f>
        <v>248030102129</v>
      </c>
      <c r="O5058" t="str">
        <f>"511902200004214516"</f>
        <v>511902200004214516</v>
      </c>
    </row>
    <row r="5059" customFormat="1" spans="1:15">
      <c r="A5059">
        <v>6491</v>
      </c>
      <c r="B5059" t="s">
        <v>5435</v>
      </c>
      <c r="C5059" t="str">
        <f>"460003199509306420"</f>
        <v>460003199509306420</v>
      </c>
      <c r="D5059" t="str">
        <f>"248030104214"</f>
        <v>248030104214</v>
      </c>
      <c r="L5059">
        <v>6491</v>
      </c>
      <c r="M5059" t="s">
        <v>5435</v>
      </c>
      <c r="N5059" t="str">
        <f>"248030104214"</f>
        <v>248030104214</v>
      </c>
      <c r="O5059" t="str">
        <f>"460003199509306420"</f>
        <v>460003199509306420</v>
      </c>
    </row>
    <row r="5060" customFormat="1" spans="1:15">
      <c r="A5060">
        <v>6493</v>
      </c>
      <c r="B5060" t="s">
        <v>5436</v>
      </c>
      <c r="C5060" t="str">
        <f>"460007200111140046"</f>
        <v>460007200111140046</v>
      </c>
      <c r="D5060" t="str">
        <f>"248030503911"</f>
        <v>248030503911</v>
      </c>
      <c r="L5060">
        <v>6493</v>
      </c>
      <c r="M5060" t="s">
        <v>5436</v>
      </c>
      <c r="N5060" t="str">
        <f>"248030503911"</f>
        <v>248030503911</v>
      </c>
      <c r="O5060" t="str">
        <f>"460007200111140046"</f>
        <v>460007200111140046</v>
      </c>
    </row>
    <row r="5061" customFormat="1" spans="1:15">
      <c r="A5061">
        <v>6494</v>
      </c>
      <c r="B5061" t="s">
        <v>5437</v>
      </c>
      <c r="C5061" t="str">
        <f>"460006200211077228"</f>
        <v>460006200211077228</v>
      </c>
      <c r="D5061" t="str">
        <f>"248030400816"</f>
        <v>248030400816</v>
      </c>
      <c r="L5061">
        <v>6494</v>
      </c>
      <c r="M5061" t="s">
        <v>5437</v>
      </c>
      <c r="N5061" t="str">
        <f>"248030400816"</f>
        <v>248030400816</v>
      </c>
      <c r="O5061" t="str">
        <f>"460006200211077228"</f>
        <v>460006200211077228</v>
      </c>
    </row>
    <row r="5062" customFormat="1" spans="1:15">
      <c r="A5062">
        <v>6496</v>
      </c>
      <c r="B5062" t="s">
        <v>913</v>
      </c>
      <c r="C5062" t="str">
        <f>"460103200011150343"</f>
        <v>460103200011150343</v>
      </c>
      <c r="D5062" t="str">
        <f>"248030101816"</f>
        <v>248030101816</v>
      </c>
      <c r="L5062">
        <v>6496</v>
      </c>
      <c r="M5062" t="s">
        <v>913</v>
      </c>
      <c r="N5062" t="str">
        <f>"248030101816"</f>
        <v>248030101816</v>
      </c>
      <c r="O5062" t="str">
        <f>"460103200011150343"</f>
        <v>460103200011150343</v>
      </c>
    </row>
    <row r="5063" customFormat="1" spans="1:15">
      <c r="A5063">
        <v>6498</v>
      </c>
      <c r="B5063" t="s">
        <v>5438</v>
      </c>
      <c r="C5063" t="str">
        <f>"460003200107054625"</f>
        <v>460003200107054625</v>
      </c>
      <c r="L5063">
        <v>6498</v>
      </c>
      <c r="M5063" t="s">
        <v>5438</v>
      </c>
      <c r="O5063" t="str">
        <f>"460003200107054625"</f>
        <v>460003200107054625</v>
      </c>
    </row>
    <row r="5064" customFormat="1" spans="1:15">
      <c r="A5064">
        <v>6501</v>
      </c>
      <c r="B5064" t="s">
        <v>5439</v>
      </c>
      <c r="C5064" t="str">
        <f>"46010319960902272X"</f>
        <v>46010319960902272X</v>
      </c>
      <c r="D5064" t="str">
        <f>"248030501927"</f>
        <v>248030501927</v>
      </c>
      <c r="L5064">
        <v>6501</v>
      </c>
      <c r="M5064" t="s">
        <v>5439</v>
      </c>
      <c r="N5064" t="str">
        <f>"248030501927"</f>
        <v>248030501927</v>
      </c>
      <c r="O5064" t="str">
        <f>"46010319960902272X"</f>
        <v>46010319960902272X</v>
      </c>
    </row>
    <row r="5065" customFormat="1" spans="1:15">
      <c r="A5065">
        <v>6502</v>
      </c>
      <c r="B5065" t="s">
        <v>5440</v>
      </c>
      <c r="C5065" t="str">
        <f>"46003120000122082X"</f>
        <v>46003120000122082X</v>
      </c>
      <c r="L5065">
        <v>6502</v>
      </c>
      <c r="M5065" t="s">
        <v>5440</v>
      </c>
      <c r="O5065" t="str">
        <f>"46003120000122082X"</f>
        <v>46003120000122082X</v>
      </c>
    </row>
    <row r="5066" customFormat="1" spans="1:15">
      <c r="A5066">
        <v>6503</v>
      </c>
      <c r="B5066" t="s">
        <v>5441</v>
      </c>
      <c r="C5066" t="str">
        <f>"460027199710160428"</f>
        <v>460027199710160428</v>
      </c>
      <c r="D5066" t="str">
        <f>"248030302704"</f>
        <v>248030302704</v>
      </c>
      <c r="L5066">
        <v>6503</v>
      </c>
      <c r="M5066" t="s">
        <v>5441</v>
      </c>
      <c r="N5066" t="str">
        <f>"248030302704"</f>
        <v>248030302704</v>
      </c>
      <c r="O5066" t="str">
        <f>"460027199710160428"</f>
        <v>460027199710160428</v>
      </c>
    </row>
    <row r="5067" customFormat="1" spans="1:15">
      <c r="A5067">
        <v>6504</v>
      </c>
      <c r="B5067" t="s">
        <v>5442</v>
      </c>
      <c r="C5067" t="str">
        <f>"460004199911114829"</f>
        <v>460004199911114829</v>
      </c>
      <c r="L5067">
        <v>6504</v>
      </c>
      <c r="M5067" t="s">
        <v>5442</v>
      </c>
      <c r="O5067" t="str">
        <f>"460004199911114829"</f>
        <v>460004199911114829</v>
      </c>
    </row>
    <row r="5068" customFormat="1" spans="1:15">
      <c r="A5068">
        <v>6505</v>
      </c>
      <c r="B5068" t="s">
        <v>4695</v>
      </c>
      <c r="C5068" t="str">
        <f>"500101198707215483"</f>
        <v>500101198707215483</v>
      </c>
      <c r="D5068" t="str">
        <f>"248030203210"</f>
        <v>248030203210</v>
      </c>
      <c r="L5068">
        <v>6505</v>
      </c>
      <c r="M5068" t="s">
        <v>4695</v>
      </c>
      <c r="N5068" t="str">
        <f>"248030203210"</f>
        <v>248030203210</v>
      </c>
      <c r="O5068" t="str">
        <f>"500101198707215483"</f>
        <v>500101198707215483</v>
      </c>
    </row>
    <row r="5069" customFormat="1" spans="1:15">
      <c r="A5069">
        <v>6506</v>
      </c>
      <c r="B5069" t="s">
        <v>5443</v>
      </c>
      <c r="C5069" t="str">
        <f>"460006199602121665"</f>
        <v>460006199602121665</v>
      </c>
      <c r="L5069">
        <v>6506</v>
      </c>
      <c r="M5069" t="s">
        <v>5443</v>
      </c>
      <c r="O5069" t="str">
        <f>"460006199602121665"</f>
        <v>460006199602121665</v>
      </c>
    </row>
    <row r="5070" customFormat="1" spans="1:15">
      <c r="A5070">
        <v>6508</v>
      </c>
      <c r="B5070" t="s">
        <v>5444</v>
      </c>
      <c r="C5070" t="str">
        <f>"460007199607085807"</f>
        <v>460007199607085807</v>
      </c>
      <c r="D5070" t="str">
        <f>"248030501318"</f>
        <v>248030501318</v>
      </c>
      <c r="L5070">
        <v>6508</v>
      </c>
      <c r="M5070" t="s">
        <v>5444</v>
      </c>
      <c r="N5070" t="str">
        <f>"248030501318"</f>
        <v>248030501318</v>
      </c>
      <c r="O5070" t="str">
        <f>"460007199607085807"</f>
        <v>460007199607085807</v>
      </c>
    </row>
    <row r="5071" customFormat="1" spans="1:15">
      <c r="A5071">
        <v>6509</v>
      </c>
      <c r="B5071" t="s">
        <v>5445</v>
      </c>
      <c r="C5071" t="str">
        <f>"632521200210290320"</f>
        <v>632521200210290320</v>
      </c>
      <c r="D5071" t="str">
        <f>"248030402909"</f>
        <v>248030402909</v>
      </c>
      <c r="L5071">
        <v>6509</v>
      </c>
      <c r="M5071" t="s">
        <v>5445</v>
      </c>
      <c r="N5071" t="str">
        <f>"248030402909"</f>
        <v>248030402909</v>
      </c>
      <c r="O5071" t="str">
        <f>"632521200210290320"</f>
        <v>632521200210290320</v>
      </c>
    </row>
    <row r="5072" customFormat="1" spans="1:15">
      <c r="A5072">
        <v>6510</v>
      </c>
      <c r="B5072" t="s">
        <v>5446</v>
      </c>
      <c r="C5072" t="str">
        <f>"460027200103116228"</f>
        <v>460027200103116228</v>
      </c>
      <c r="D5072" t="str">
        <f>"248030201610"</f>
        <v>248030201610</v>
      </c>
      <c r="L5072">
        <v>6510</v>
      </c>
      <c r="M5072" t="s">
        <v>5446</v>
      </c>
      <c r="N5072" t="str">
        <f>"248030201610"</f>
        <v>248030201610</v>
      </c>
      <c r="O5072" t="str">
        <f>"460027200103116228"</f>
        <v>460027200103116228</v>
      </c>
    </row>
    <row r="5073" customFormat="1" spans="1:15">
      <c r="A5073">
        <v>6511</v>
      </c>
      <c r="B5073" t="s">
        <v>5447</v>
      </c>
      <c r="C5073" t="str">
        <f>"460200200011290027"</f>
        <v>460200200011290027</v>
      </c>
      <c r="D5073" t="str">
        <f>"248030100830"</f>
        <v>248030100830</v>
      </c>
      <c r="L5073">
        <v>6511</v>
      </c>
      <c r="M5073" t="s">
        <v>5447</v>
      </c>
      <c r="N5073" t="str">
        <f>"248030100830"</f>
        <v>248030100830</v>
      </c>
      <c r="O5073" t="str">
        <f>"460200200011290027"</f>
        <v>460200200011290027</v>
      </c>
    </row>
    <row r="5074" customFormat="1" spans="1:15">
      <c r="A5074">
        <v>6512</v>
      </c>
      <c r="B5074" t="s">
        <v>5448</v>
      </c>
      <c r="C5074" t="str">
        <f>"460006199110212923"</f>
        <v>460006199110212923</v>
      </c>
      <c r="D5074" t="str">
        <f>"248030500316"</f>
        <v>248030500316</v>
      </c>
      <c r="L5074">
        <v>6512</v>
      </c>
      <c r="M5074" t="s">
        <v>5448</v>
      </c>
      <c r="N5074" t="str">
        <f>"248030500316"</f>
        <v>248030500316</v>
      </c>
      <c r="O5074" t="str">
        <f>"460006199110212923"</f>
        <v>460006199110212923</v>
      </c>
    </row>
    <row r="5075" customFormat="1" spans="1:15">
      <c r="A5075">
        <v>6513</v>
      </c>
      <c r="B5075" t="s">
        <v>5449</v>
      </c>
      <c r="C5075" t="str">
        <f>"440825200005073962"</f>
        <v>440825200005073962</v>
      </c>
      <c r="D5075" t="str">
        <f>"248030503324"</f>
        <v>248030503324</v>
      </c>
      <c r="L5075">
        <v>6513</v>
      </c>
      <c r="M5075" t="s">
        <v>5449</v>
      </c>
      <c r="N5075" t="str">
        <f>"248030503324"</f>
        <v>248030503324</v>
      </c>
      <c r="O5075" t="str">
        <f>"440825200005073962"</f>
        <v>440825200005073962</v>
      </c>
    </row>
    <row r="5076" customFormat="1" spans="1:15">
      <c r="A5076">
        <v>6514</v>
      </c>
      <c r="B5076" t="s">
        <v>5450</v>
      </c>
      <c r="C5076" t="str">
        <f>"460028200010230829"</f>
        <v>460028200010230829</v>
      </c>
      <c r="D5076" t="str">
        <f>"248030302323"</f>
        <v>248030302323</v>
      </c>
      <c r="L5076">
        <v>6514</v>
      </c>
      <c r="M5076" t="s">
        <v>5450</v>
      </c>
      <c r="N5076" t="str">
        <f>"248030302323"</f>
        <v>248030302323</v>
      </c>
      <c r="O5076" t="str">
        <f>"460028200010230829"</f>
        <v>460028200010230829</v>
      </c>
    </row>
    <row r="5077" customFormat="1" spans="1:15">
      <c r="A5077">
        <v>6515</v>
      </c>
      <c r="B5077" t="s">
        <v>5451</v>
      </c>
      <c r="C5077" t="str">
        <f>"469003200211033523"</f>
        <v>469003200211033523</v>
      </c>
      <c r="D5077" t="str">
        <f>"248030100326"</f>
        <v>248030100326</v>
      </c>
      <c r="L5077">
        <v>6515</v>
      </c>
      <c r="M5077" t="s">
        <v>5451</v>
      </c>
      <c r="N5077" t="str">
        <f>"248030100326"</f>
        <v>248030100326</v>
      </c>
      <c r="O5077" t="str">
        <f>"469003200211033523"</f>
        <v>469003200211033523</v>
      </c>
    </row>
    <row r="5078" customFormat="1" spans="1:15">
      <c r="A5078">
        <v>6516</v>
      </c>
      <c r="B5078" t="s">
        <v>5452</v>
      </c>
      <c r="C5078" t="str">
        <f>"46000420000212462X"</f>
        <v>46000420000212462X</v>
      </c>
      <c r="D5078" t="str">
        <f>"248030302006"</f>
        <v>248030302006</v>
      </c>
      <c r="L5078">
        <v>6516</v>
      </c>
      <c r="M5078" t="s">
        <v>5452</v>
      </c>
      <c r="N5078" t="str">
        <f>"248030302006"</f>
        <v>248030302006</v>
      </c>
      <c r="O5078" t="str">
        <f>"46000420000212462X"</f>
        <v>46000420000212462X</v>
      </c>
    </row>
    <row r="5079" customFormat="1" spans="1:15">
      <c r="A5079">
        <v>6517</v>
      </c>
      <c r="B5079" t="s">
        <v>5453</v>
      </c>
      <c r="C5079" t="str">
        <f>"46010320001014032X"</f>
        <v>46010320001014032X</v>
      </c>
      <c r="D5079" t="str">
        <f>"248030101220"</f>
        <v>248030101220</v>
      </c>
      <c r="L5079">
        <v>6517</v>
      </c>
      <c r="M5079" t="s">
        <v>5453</v>
      </c>
      <c r="N5079" t="str">
        <f>"248030101220"</f>
        <v>248030101220</v>
      </c>
      <c r="O5079" t="str">
        <f>"46010320001014032X"</f>
        <v>46010320001014032X</v>
      </c>
    </row>
    <row r="5080" customFormat="1" spans="1:15">
      <c r="A5080">
        <v>6518</v>
      </c>
      <c r="B5080" t="s">
        <v>3148</v>
      </c>
      <c r="C5080" t="str">
        <f>"460002200205161225"</f>
        <v>460002200205161225</v>
      </c>
      <c r="D5080" t="str">
        <f>"248030101313"</f>
        <v>248030101313</v>
      </c>
      <c r="L5080">
        <v>6518</v>
      </c>
      <c r="M5080" t="s">
        <v>3148</v>
      </c>
      <c r="N5080" t="str">
        <f>"248030101313"</f>
        <v>248030101313</v>
      </c>
      <c r="O5080" t="str">
        <f>"460002200205161225"</f>
        <v>460002200205161225</v>
      </c>
    </row>
    <row r="5081" customFormat="1" spans="1:15">
      <c r="A5081">
        <v>6520</v>
      </c>
      <c r="B5081" t="s">
        <v>5454</v>
      </c>
      <c r="C5081" t="str">
        <f>"460006199410230226"</f>
        <v>460006199410230226</v>
      </c>
      <c r="L5081">
        <v>6520</v>
      </c>
      <c r="M5081" t="s">
        <v>5454</v>
      </c>
      <c r="O5081" t="str">
        <f>"460006199410230226"</f>
        <v>460006199410230226</v>
      </c>
    </row>
    <row r="5082" customFormat="1" spans="1:15">
      <c r="A5082">
        <v>6521</v>
      </c>
      <c r="B5082" t="s">
        <v>5455</v>
      </c>
      <c r="C5082" t="str">
        <f>"460033199301017185"</f>
        <v>460033199301017185</v>
      </c>
      <c r="D5082" t="str">
        <f>"248030403301"</f>
        <v>248030403301</v>
      </c>
      <c r="L5082">
        <v>6521</v>
      </c>
      <c r="M5082" t="s">
        <v>5455</v>
      </c>
      <c r="N5082" t="str">
        <f>"248030403301"</f>
        <v>248030403301</v>
      </c>
      <c r="O5082" t="str">
        <f>"460033199301017185"</f>
        <v>460033199301017185</v>
      </c>
    </row>
    <row r="5083" customFormat="1" spans="1:15">
      <c r="A5083">
        <v>6522</v>
      </c>
      <c r="B5083" t="s">
        <v>5456</v>
      </c>
      <c r="C5083" t="str">
        <f>"460003200106296622"</f>
        <v>460003200106296622</v>
      </c>
      <c r="D5083" t="str">
        <f>"248030403219"</f>
        <v>248030403219</v>
      </c>
      <c r="L5083">
        <v>6522</v>
      </c>
      <c r="M5083" t="s">
        <v>5456</v>
      </c>
      <c r="N5083" t="str">
        <f>"248030403219"</f>
        <v>248030403219</v>
      </c>
      <c r="O5083" t="str">
        <f>"460003200106296622"</f>
        <v>460003200106296622</v>
      </c>
    </row>
    <row r="5084" customFormat="1" spans="1:15">
      <c r="A5084">
        <v>6523</v>
      </c>
      <c r="B5084" t="s">
        <v>185</v>
      </c>
      <c r="C5084" t="str">
        <f>"460033199802104201"</f>
        <v>460033199802104201</v>
      </c>
      <c r="L5084">
        <v>6523</v>
      </c>
      <c r="M5084" t="s">
        <v>185</v>
      </c>
      <c r="O5084" t="str">
        <f>"460033199802104201"</f>
        <v>460033199802104201</v>
      </c>
    </row>
    <row r="5085" customFormat="1" spans="1:15">
      <c r="A5085">
        <v>6524</v>
      </c>
      <c r="B5085" t="s">
        <v>5457</v>
      </c>
      <c r="C5085" t="str">
        <f>"460004200007030024"</f>
        <v>460004200007030024</v>
      </c>
      <c r="D5085" t="str">
        <f>"248030100802"</f>
        <v>248030100802</v>
      </c>
      <c r="L5085">
        <v>6524</v>
      </c>
      <c r="M5085" t="s">
        <v>5457</v>
      </c>
      <c r="N5085" t="str">
        <f>"248030100802"</f>
        <v>248030100802</v>
      </c>
      <c r="O5085" t="str">
        <f>"460004200007030024"</f>
        <v>460004200007030024</v>
      </c>
    </row>
    <row r="5086" customFormat="1" spans="1:15">
      <c r="A5086">
        <v>6525</v>
      </c>
      <c r="B5086" t="s">
        <v>5458</v>
      </c>
      <c r="C5086" t="str">
        <f>"469027199902195981"</f>
        <v>469027199902195981</v>
      </c>
      <c r="L5086">
        <v>6525</v>
      </c>
      <c r="M5086" t="s">
        <v>5458</v>
      </c>
      <c r="O5086" t="str">
        <f>"469027199902195981"</f>
        <v>469027199902195981</v>
      </c>
    </row>
    <row r="5087" customFormat="1" spans="1:15">
      <c r="A5087">
        <v>6526</v>
      </c>
      <c r="B5087" t="s">
        <v>5459</v>
      </c>
      <c r="C5087" t="str">
        <f>"460002199910172522"</f>
        <v>460002199910172522</v>
      </c>
      <c r="L5087">
        <v>6526</v>
      </c>
      <c r="M5087" t="s">
        <v>5459</v>
      </c>
      <c r="O5087" t="str">
        <f>"460002199910172522"</f>
        <v>460002199910172522</v>
      </c>
    </row>
    <row r="5088" customFormat="1" spans="1:15">
      <c r="A5088">
        <v>6527</v>
      </c>
      <c r="B5088" t="s">
        <v>2330</v>
      </c>
      <c r="C5088" t="str">
        <f>"460028199507013621"</f>
        <v>460028199507013621</v>
      </c>
      <c r="D5088" t="str">
        <f>"248030104313"</f>
        <v>248030104313</v>
      </c>
      <c r="L5088">
        <v>6527</v>
      </c>
      <c r="M5088" t="s">
        <v>2330</v>
      </c>
      <c r="N5088" t="str">
        <f>"248030104313"</f>
        <v>248030104313</v>
      </c>
      <c r="O5088" t="str">
        <f>"460028199507013621"</f>
        <v>460028199507013621</v>
      </c>
    </row>
    <row r="5089" customFormat="1" spans="1:15">
      <c r="A5089">
        <v>6528</v>
      </c>
      <c r="B5089" t="s">
        <v>2651</v>
      </c>
      <c r="C5089" t="str">
        <f>"460027199910011726"</f>
        <v>460027199910011726</v>
      </c>
      <c r="D5089" t="str">
        <f>"248030400823"</f>
        <v>248030400823</v>
      </c>
      <c r="L5089">
        <v>6528</v>
      </c>
      <c r="M5089" t="s">
        <v>2651</v>
      </c>
      <c r="N5089" t="str">
        <f>"248030400823"</f>
        <v>248030400823</v>
      </c>
      <c r="O5089" t="str">
        <f>"460027199910011726"</f>
        <v>460027199910011726</v>
      </c>
    </row>
    <row r="5090" customFormat="1" spans="1:15">
      <c r="A5090">
        <v>6529</v>
      </c>
      <c r="B5090" t="s">
        <v>5460</v>
      </c>
      <c r="C5090" t="str">
        <f>"372925199807282727"</f>
        <v>372925199807282727</v>
      </c>
      <c r="L5090">
        <v>6529</v>
      </c>
      <c r="M5090" t="s">
        <v>5460</v>
      </c>
      <c r="O5090" t="str">
        <f>"372925199807282727"</f>
        <v>372925199807282727</v>
      </c>
    </row>
    <row r="5091" customFormat="1" spans="1:15">
      <c r="A5091">
        <v>6530</v>
      </c>
      <c r="B5091" t="s">
        <v>5461</v>
      </c>
      <c r="C5091" t="str">
        <f>"460007200010020424"</f>
        <v>460007200010020424</v>
      </c>
      <c r="D5091" t="str">
        <f>"248030301011"</f>
        <v>248030301011</v>
      </c>
      <c r="L5091">
        <v>6530</v>
      </c>
      <c r="M5091" t="s">
        <v>5461</v>
      </c>
      <c r="N5091" t="str">
        <f>"248030301011"</f>
        <v>248030301011</v>
      </c>
      <c r="O5091" t="str">
        <f>"460007200010020424"</f>
        <v>460007200010020424</v>
      </c>
    </row>
    <row r="5092" customFormat="1" spans="1:15">
      <c r="A5092">
        <v>6531</v>
      </c>
      <c r="B5092" t="s">
        <v>1740</v>
      </c>
      <c r="C5092" t="str">
        <f>"460006200208195944"</f>
        <v>460006200208195944</v>
      </c>
      <c r="L5092">
        <v>6531</v>
      </c>
      <c r="M5092" t="s">
        <v>1740</v>
      </c>
      <c r="O5092" t="str">
        <f>"460006200208195944"</f>
        <v>460006200208195944</v>
      </c>
    </row>
    <row r="5093" customFormat="1" spans="1:15">
      <c r="A5093">
        <v>6532</v>
      </c>
      <c r="B5093" t="s">
        <v>5462</v>
      </c>
      <c r="C5093" t="str">
        <f>"460007200108167627"</f>
        <v>460007200108167627</v>
      </c>
      <c r="D5093" t="str">
        <f>"248030503120"</f>
        <v>248030503120</v>
      </c>
      <c r="L5093">
        <v>6532</v>
      </c>
      <c r="M5093" t="s">
        <v>5462</v>
      </c>
      <c r="N5093" t="str">
        <f>"248030503120"</f>
        <v>248030503120</v>
      </c>
      <c r="O5093" t="str">
        <f>"460007200108167627"</f>
        <v>460007200108167627</v>
      </c>
    </row>
    <row r="5094" customFormat="1" spans="1:15">
      <c r="A5094">
        <v>6533</v>
      </c>
      <c r="B5094" t="s">
        <v>5463</v>
      </c>
      <c r="C5094" t="str">
        <f>"469023200101296221"</f>
        <v>469023200101296221</v>
      </c>
      <c r="D5094" t="str">
        <f>"248030101006"</f>
        <v>248030101006</v>
      </c>
      <c r="L5094">
        <v>6533</v>
      </c>
      <c r="M5094" t="s">
        <v>5463</v>
      </c>
      <c r="N5094" t="str">
        <f>"248030101006"</f>
        <v>248030101006</v>
      </c>
      <c r="O5094" t="str">
        <f>"469023200101296221"</f>
        <v>469023200101296221</v>
      </c>
    </row>
    <row r="5095" customFormat="1" spans="1:15">
      <c r="A5095">
        <v>6534</v>
      </c>
      <c r="B5095" t="s">
        <v>5464</v>
      </c>
      <c r="C5095" t="str">
        <f>"460102199901021840"</f>
        <v>460102199901021840</v>
      </c>
      <c r="D5095" t="str">
        <f>"248030200127"</f>
        <v>248030200127</v>
      </c>
      <c r="L5095">
        <v>6534</v>
      </c>
      <c r="M5095" t="s">
        <v>5464</v>
      </c>
      <c r="N5095" t="str">
        <f>"248030200127"</f>
        <v>248030200127</v>
      </c>
      <c r="O5095" t="str">
        <f>"460102199901021840"</f>
        <v>460102199901021840</v>
      </c>
    </row>
    <row r="5096" customFormat="1" spans="1:15">
      <c r="A5096">
        <v>6535</v>
      </c>
      <c r="B5096" t="s">
        <v>5465</v>
      </c>
      <c r="C5096" t="str">
        <f>"460003199102062022"</f>
        <v>460003199102062022</v>
      </c>
      <c r="D5096" t="str">
        <f>"248030400413"</f>
        <v>248030400413</v>
      </c>
      <c r="L5096">
        <v>6535</v>
      </c>
      <c r="M5096" t="s">
        <v>5465</v>
      </c>
      <c r="N5096" t="str">
        <f>"248030400413"</f>
        <v>248030400413</v>
      </c>
      <c r="O5096" t="str">
        <f>"460003199102062022"</f>
        <v>460003199102062022</v>
      </c>
    </row>
    <row r="5097" customFormat="1" spans="1:15">
      <c r="A5097">
        <v>6536</v>
      </c>
      <c r="B5097" t="s">
        <v>5466</v>
      </c>
      <c r="C5097" t="str">
        <f>"46900320010710562X"</f>
        <v>46900320010710562X</v>
      </c>
      <c r="D5097" t="str">
        <f>"248030202720"</f>
        <v>248030202720</v>
      </c>
      <c r="L5097">
        <v>6536</v>
      </c>
      <c r="M5097" t="s">
        <v>5466</v>
      </c>
      <c r="N5097" t="str">
        <f>"248030202720"</f>
        <v>248030202720</v>
      </c>
      <c r="O5097" t="str">
        <f>"46900320010710562X"</f>
        <v>46900320010710562X</v>
      </c>
    </row>
    <row r="5098" customFormat="1" spans="1:15">
      <c r="A5098">
        <v>6537</v>
      </c>
      <c r="B5098" t="s">
        <v>5467</v>
      </c>
      <c r="C5098" t="str">
        <f>"469007200108127228"</f>
        <v>469007200108127228</v>
      </c>
      <c r="D5098" t="str">
        <f>"248030100417"</f>
        <v>248030100417</v>
      </c>
      <c r="L5098">
        <v>6537</v>
      </c>
      <c r="M5098" t="s">
        <v>5467</v>
      </c>
      <c r="N5098" t="str">
        <f>"248030100417"</f>
        <v>248030100417</v>
      </c>
      <c r="O5098" t="str">
        <f>"469007200108127228"</f>
        <v>469007200108127228</v>
      </c>
    </row>
    <row r="5099" customFormat="1" spans="1:15">
      <c r="A5099">
        <v>6538</v>
      </c>
      <c r="B5099" t="s">
        <v>5468</v>
      </c>
      <c r="C5099" t="str">
        <f>"460033199607274184"</f>
        <v>460033199607274184</v>
      </c>
      <c r="D5099" t="str">
        <f>"248030302028"</f>
        <v>248030302028</v>
      </c>
      <c r="L5099">
        <v>6538</v>
      </c>
      <c r="M5099" t="s">
        <v>5468</v>
      </c>
      <c r="N5099" t="str">
        <f>"248030302028"</f>
        <v>248030302028</v>
      </c>
      <c r="O5099" t="str">
        <f>"460033199607274184"</f>
        <v>460033199607274184</v>
      </c>
    </row>
    <row r="5100" customFormat="1" spans="1:15">
      <c r="A5100">
        <v>6540</v>
      </c>
      <c r="B5100" t="s">
        <v>5469</v>
      </c>
      <c r="C5100" t="str">
        <f>"460028199706290429"</f>
        <v>460028199706290429</v>
      </c>
      <c r="D5100" t="str">
        <f>"248030102008"</f>
        <v>248030102008</v>
      </c>
      <c r="L5100">
        <v>6540</v>
      </c>
      <c r="M5100" t="s">
        <v>5469</v>
      </c>
      <c r="N5100" t="str">
        <f>"248030102008"</f>
        <v>248030102008</v>
      </c>
      <c r="O5100" t="str">
        <f>"460028199706290429"</f>
        <v>460028199706290429</v>
      </c>
    </row>
    <row r="5101" customFormat="1" spans="1:15">
      <c r="A5101">
        <v>6541</v>
      </c>
      <c r="B5101" t="s">
        <v>556</v>
      </c>
      <c r="C5101" t="str">
        <f>"46002719981106040X"</f>
        <v>46002719981106040X</v>
      </c>
      <c r="L5101">
        <v>6541</v>
      </c>
      <c r="M5101" t="s">
        <v>556</v>
      </c>
      <c r="O5101" t="str">
        <f>"46002719981106040X"</f>
        <v>46002719981106040X</v>
      </c>
    </row>
    <row r="5102" customFormat="1" spans="1:15">
      <c r="A5102">
        <v>6542</v>
      </c>
      <c r="B5102" t="s">
        <v>5470</v>
      </c>
      <c r="C5102" t="str">
        <f>"46000719930303498X"</f>
        <v>46000719930303498X</v>
      </c>
      <c r="D5102" t="str">
        <f>"248030501915"</f>
        <v>248030501915</v>
      </c>
      <c r="L5102">
        <v>6542</v>
      </c>
      <c r="M5102" t="s">
        <v>5470</v>
      </c>
      <c r="N5102" t="str">
        <f>"248030501915"</f>
        <v>248030501915</v>
      </c>
      <c r="O5102" t="str">
        <f>"46000719930303498X"</f>
        <v>46000719930303498X</v>
      </c>
    </row>
    <row r="5103" customFormat="1" spans="1:15">
      <c r="A5103">
        <v>6543</v>
      </c>
      <c r="B5103" t="s">
        <v>5471</v>
      </c>
      <c r="C5103" t="str">
        <f>"460003199710302229"</f>
        <v>460003199710302229</v>
      </c>
      <c r="D5103" t="str">
        <f>"248030203112"</f>
        <v>248030203112</v>
      </c>
      <c r="L5103">
        <v>6543</v>
      </c>
      <c r="M5103" t="s">
        <v>5471</v>
      </c>
      <c r="N5103" t="str">
        <f>"248030203112"</f>
        <v>248030203112</v>
      </c>
      <c r="O5103" t="str">
        <f>"460003199710302229"</f>
        <v>460003199710302229</v>
      </c>
    </row>
    <row r="5104" customFormat="1" spans="1:15">
      <c r="A5104">
        <v>6544</v>
      </c>
      <c r="B5104" t="s">
        <v>5472</v>
      </c>
      <c r="C5104" t="str">
        <f>"460104199711060040"</f>
        <v>460104199711060040</v>
      </c>
      <c r="D5104" t="str">
        <f>"248030103926"</f>
        <v>248030103926</v>
      </c>
      <c r="L5104">
        <v>6544</v>
      </c>
      <c r="M5104" t="s">
        <v>5472</v>
      </c>
      <c r="N5104" t="str">
        <f>"248030103926"</f>
        <v>248030103926</v>
      </c>
      <c r="O5104" t="str">
        <f>"460104199711060040"</f>
        <v>460104199711060040</v>
      </c>
    </row>
    <row r="5105" customFormat="1" spans="1:15">
      <c r="A5105">
        <v>6545</v>
      </c>
      <c r="B5105" t="s">
        <v>5473</v>
      </c>
      <c r="C5105" t="str">
        <f>"460007200012170047"</f>
        <v>460007200012170047</v>
      </c>
      <c r="D5105" t="str">
        <f>"248030301212"</f>
        <v>248030301212</v>
      </c>
      <c r="L5105">
        <v>6545</v>
      </c>
      <c r="M5105" t="s">
        <v>5473</v>
      </c>
      <c r="N5105" t="str">
        <f>"248030301212"</f>
        <v>248030301212</v>
      </c>
      <c r="O5105" t="str">
        <f>"460007200012170047"</f>
        <v>460007200012170047</v>
      </c>
    </row>
    <row r="5106" customFormat="1" spans="1:15">
      <c r="A5106">
        <v>6547</v>
      </c>
      <c r="B5106" t="s">
        <v>5474</v>
      </c>
      <c r="C5106" t="str">
        <f>"460002199402014923"</f>
        <v>460002199402014923</v>
      </c>
      <c r="D5106" t="str">
        <f>"248030504303"</f>
        <v>248030504303</v>
      </c>
      <c r="L5106">
        <v>6547</v>
      </c>
      <c r="M5106" t="s">
        <v>5474</v>
      </c>
      <c r="N5106" t="str">
        <f>"248030504303"</f>
        <v>248030504303</v>
      </c>
      <c r="O5106" t="str">
        <f>"460002199402014923"</f>
        <v>460002199402014923</v>
      </c>
    </row>
    <row r="5107" customFormat="1" spans="1:15">
      <c r="A5107">
        <v>6548</v>
      </c>
      <c r="B5107" t="s">
        <v>5475</v>
      </c>
      <c r="C5107" t="str">
        <f>"460004199609280041"</f>
        <v>460004199609280041</v>
      </c>
      <c r="D5107" t="str">
        <f>"248030103126"</f>
        <v>248030103126</v>
      </c>
      <c r="L5107">
        <v>6548</v>
      </c>
      <c r="M5107" t="s">
        <v>5475</v>
      </c>
      <c r="N5107" t="str">
        <f>"248030103126"</f>
        <v>248030103126</v>
      </c>
      <c r="O5107" t="str">
        <f>"460004199609280041"</f>
        <v>460004199609280041</v>
      </c>
    </row>
    <row r="5108" customFormat="1" spans="1:15">
      <c r="A5108">
        <v>6549</v>
      </c>
      <c r="B5108" t="s">
        <v>5476</v>
      </c>
      <c r="C5108" t="str">
        <f>"230702200206030724"</f>
        <v>230702200206030724</v>
      </c>
      <c r="D5108" t="str">
        <f>"248030103916"</f>
        <v>248030103916</v>
      </c>
      <c r="L5108">
        <v>6549</v>
      </c>
      <c r="M5108" t="s">
        <v>5476</v>
      </c>
      <c r="N5108" t="str">
        <f>"248030103916"</f>
        <v>248030103916</v>
      </c>
      <c r="O5108" t="str">
        <f>"230702200206030724"</f>
        <v>230702200206030724</v>
      </c>
    </row>
    <row r="5109" customFormat="1" spans="1:15">
      <c r="A5109">
        <v>6550</v>
      </c>
      <c r="B5109" t="s">
        <v>779</v>
      </c>
      <c r="C5109" t="str">
        <f>"460021199205074424"</f>
        <v>460021199205074424</v>
      </c>
      <c r="D5109" t="str">
        <f>"248030403225"</f>
        <v>248030403225</v>
      </c>
      <c r="L5109">
        <v>6550</v>
      </c>
      <c r="M5109" t="s">
        <v>779</v>
      </c>
      <c r="N5109" t="str">
        <f>"248030403225"</f>
        <v>248030403225</v>
      </c>
      <c r="O5109" t="str">
        <f>"460021199205074424"</f>
        <v>460021199205074424</v>
      </c>
    </row>
    <row r="5110" customFormat="1" spans="1:15">
      <c r="A5110">
        <v>6552</v>
      </c>
      <c r="B5110" t="s">
        <v>5477</v>
      </c>
      <c r="C5110" t="str">
        <f>"460033200004076280"</f>
        <v>460033200004076280</v>
      </c>
      <c r="D5110" t="str">
        <f>"248030502807"</f>
        <v>248030502807</v>
      </c>
      <c r="L5110">
        <v>6552</v>
      </c>
      <c r="M5110" t="s">
        <v>5477</v>
      </c>
      <c r="N5110" t="str">
        <f>"248030502807"</f>
        <v>248030502807</v>
      </c>
      <c r="O5110" t="str">
        <f>"460033200004076280"</f>
        <v>460033200004076280</v>
      </c>
    </row>
    <row r="5111" customFormat="1" spans="1:15">
      <c r="A5111">
        <v>6553</v>
      </c>
      <c r="B5111" t="s">
        <v>5478</v>
      </c>
      <c r="C5111" t="str">
        <f>"460027199208117045"</f>
        <v>460027199208117045</v>
      </c>
      <c r="D5111" t="str">
        <f>"248030102010"</f>
        <v>248030102010</v>
      </c>
      <c r="L5111">
        <v>6553</v>
      </c>
      <c r="M5111" t="s">
        <v>5478</v>
      </c>
      <c r="N5111" t="str">
        <f>"248030102010"</f>
        <v>248030102010</v>
      </c>
      <c r="O5111" t="str">
        <f>"460027199208117045"</f>
        <v>460027199208117045</v>
      </c>
    </row>
    <row r="5112" customFormat="1" spans="1:15">
      <c r="A5112">
        <v>6554</v>
      </c>
      <c r="B5112" t="s">
        <v>5479</v>
      </c>
      <c r="C5112" t="str">
        <f>"460007199906128029"</f>
        <v>460007199906128029</v>
      </c>
      <c r="D5112" t="str">
        <f>"248030101422"</f>
        <v>248030101422</v>
      </c>
      <c r="L5112">
        <v>6554</v>
      </c>
      <c r="M5112" t="s">
        <v>5479</v>
      </c>
      <c r="N5112" t="str">
        <f>"248030101422"</f>
        <v>248030101422</v>
      </c>
      <c r="O5112" t="str">
        <f>"460007199906128029"</f>
        <v>460007199906128029</v>
      </c>
    </row>
    <row r="5113" customFormat="1" spans="1:15">
      <c r="A5113">
        <v>6555</v>
      </c>
      <c r="B5113" t="s">
        <v>5480</v>
      </c>
      <c r="C5113" t="str">
        <f>"46003319930618357X"</f>
        <v>46003319930618357X</v>
      </c>
      <c r="D5113" t="str">
        <f>"248030400807"</f>
        <v>248030400807</v>
      </c>
      <c r="L5113">
        <v>6555</v>
      </c>
      <c r="M5113" t="s">
        <v>5480</v>
      </c>
      <c r="N5113" t="str">
        <f>"248030400807"</f>
        <v>248030400807</v>
      </c>
      <c r="O5113" t="str">
        <f>"46003319930618357X"</f>
        <v>46003319930618357X</v>
      </c>
    </row>
    <row r="5114" customFormat="1" spans="1:15">
      <c r="A5114">
        <v>6558</v>
      </c>
      <c r="B5114" t="s">
        <v>5481</v>
      </c>
      <c r="C5114" t="str">
        <f>"460026199612242749"</f>
        <v>460026199612242749</v>
      </c>
      <c r="D5114" t="str">
        <f>"248030502616"</f>
        <v>248030502616</v>
      </c>
      <c r="L5114">
        <v>6558</v>
      </c>
      <c r="M5114" t="s">
        <v>5481</v>
      </c>
      <c r="N5114" t="str">
        <f>"248030502616"</f>
        <v>248030502616</v>
      </c>
      <c r="O5114" t="str">
        <f>"460026199612242749"</f>
        <v>460026199612242749</v>
      </c>
    </row>
    <row r="5115" customFormat="1" spans="1:15">
      <c r="A5115">
        <v>6559</v>
      </c>
      <c r="B5115" t="s">
        <v>5482</v>
      </c>
      <c r="C5115" t="str">
        <f>"410381199407304025"</f>
        <v>410381199407304025</v>
      </c>
      <c r="D5115" t="str">
        <f>"248030202824"</f>
        <v>248030202824</v>
      </c>
      <c r="L5115">
        <v>6559</v>
      </c>
      <c r="M5115" t="s">
        <v>5482</v>
      </c>
      <c r="N5115" t="str">
        <f>"248030202824"</f>
        <v>248030202824</v>
      </c>
      <c r="O5115" t="str">
        <f>"410381199407304025"</f>
        <v>410381199407304025</v>
      </c>
    </row>
    <row r="5116" customFormat="1" spans="1:15">
      <c r="A5116">
        <v>6560</v>
      </c>
      <c r="B5116" t="s">
        <v>5483</v>
      </c>
      <c r="C5116" t="str">
        <f>"460003200002182241"</f>
        <v>460003200002182241</v>
      </c>
      <c r="D5116" t="str">
        <f>"248030203209"</f>
        <v>248030203209</v>
      </c>
      <c r="L5116">
        <v>6560</v>
      </c>
      <c r="M5116" t="s">
        <v>5483</v>
      </c>
      <c r="N5116" t="str">
        <f>"248030203209"</f>
        <v>248030203209</v>
      </c>
      <c r="O5116" t="str">
        <f>"460003200002182241"</f>
        <v>460003200002182241</v>
      </c>
    </row>
    <row r="5117" customFormat="1" spans="1:15">
      <c r="A5117">
        <v>6561</v>
      </c>
      <c r="B5117" t="s">
        <v>5484</v>
      </c>
      <c r="C5117" t="str">
        <f>"460004200211193023"</f>
        <v>460004200211193023</v>
      </c>
      <c r="D5117" t="str">
        <f>"248030203001"</f>
        <v>248030203001</v>
      </c>
      <c r="L5117">
        <v>6561</v>
      </c>
      <c r="M5117" t="s">
        <v>5484</v>
      </c>
      <c r="N5117" t="str">
        <f>"248030203001"</f>
        <v>248030203001</v>
      </c>
      <c r="O5117" t="str">
        <f>"460004200211193023"</f>
        <v>460004200211193023</v>
      </c>
    </row>
    <row r="5118" customFormat="1" spans="1:15">
      <c r="A5118">
        <v>6562</v>
      </c>
      <c r="B5118" t="s">
        <v>5485</v>
      </c>
      <c r="C5118" t="str">
        <f>"460033199811276304"</f>
        <v>460033199811276304</v>
      </c>
      <c r="D5118" t="str">
        <f>"248030404008"</f>
        <v>248030404008</v>
      </c>
      <c r="L5118">
        <v>6562</v>
      </c>
      <c r="M5118" t="s">
        <v>5485</v>
      </c>
      <c r="N5118" t="str">
        <f>"248030404008"</f>
        <v>248030404008</v>
      </c>
      <c r="O5118" t="str">
        <f>"460033199811276304"</f>
        <v>460033199811276304</v>
      </c>
    </row>
    <row r="5119" customFormat="1" spans="1:15">
      <c r="A5119">
        <v>6563</v>
      </c>
      <c r="B5119" t="s">
        <v>1356</v>
      </c>
      <c r="C5119" t="str">
        <f>"460026199809262727"</f>
        <v>460026199809262727</v>
      </c>
      <c r="D5119" t="str">
        <f>"248030104206"</f>
        <v>248030104206</v>
      </c>
      <c r="L5119">
        <v>6563</v>
      </c>
      <c r="M5119" t="s">
        <v>1356</v>
      </c>
      <c r="N5119" t="str">
        <f>"248030104206"</f>
        <v>248030104206</v>
      </c>
      <c r="O5119" t="str">
        <f>"460026199809262727"</f>
        <v>460026199809262727</v>
      </c>
    </row>
    <row r="5120" customFormat="1" spans="1:15">
      <c r="A5120">
        <v>6565</v>
      </c>
      <c r="B5120" t="s">
        <v>5486</v>
      </c>
      <c r="C5120" t="str">
        <f>"360426199608200026"</f>
        <v>360426199608200026</v>
      </c>
      <c r="D5120" t="str">
        <f>"248030502220"</f>
        <v>248030502220</v>
      </c>
      <c r="L5120">
        <v>6565</v>
      </c>
      <c r="M5120" t="s">
        <v>5486</v>
      </c>
      <c r="N5120" t="str">
        <f>"248030502220"</f>
        <v>248030502220</v>
      </c>
      <c r="O5120" t="str">
        <f>"360426199608200026"</f>
        <v>360426199608200026</v>
      </c>
    </row>
    <row r="5121" customFormat="1" spans="1:15">
      <c r="A5121">
        <v>6566</v>
      </c>
      <c r="B5121" t="s">
        <v>1513</v>
      </c>
      <c r="C5121" t="str">
        <f>"22011219891024322X"</f>
        <v>22011219891024322X</v>
      </c>
      <c r="L5121">
        <v>6566</v>
      </c>
      <c r="M5121" t="s">
        <v>1513</v>
      </c>
      <c r="O5121" t="str">
        <f>"22011219891024322X"</f>
        <v>22011219891024322X</v>
      </c>
    </row>
    <row r="5122" customFormat="1" spans="1:15">
      <c r="A5122">
        <v>6567</v>
      </c>
      <c r="B5122" t="s">
        <v>5487</v>
      </c>
      <c r="C5122" t="str">
        <f>"460022199501264819"</f>
        <v>460022199501264819</v>
      </c>
      <c r="D5122" t="str">
        <f>"248030102505"</f>
        <v>248030102505</v>
      </c>
      <c r="L5122">
        <v>6567</v>
      </c>
      <c r="M5122" t="s">
        <v>5487</v>
      </c>
      <c r="N5122" t="str">
        <f>"248030102505"</f>
        <v>248030102505</v>
      </c>
      <c r="O5122" t="str">
        <f>"460022199501264819"</f>
        <v>460022199501264819</v>
      </c>
    </row>
    <row r="5123" customFormat="1" spans="1:15">
      <c r="A5123">
        <v>6568</v>
      </c>
      <c r="B5123" t="s">
        <v>5488</v>
      </c>
      <c r="C5123" t="str">
        <f>"460004200203033425"</f>
        <v>460004200203033425</v>
      </c>
      <c r="D5123" t="str">
        <f>"248030100414"</f>
        <v>248030100414</v>
      </c>
      <c r="L5123">
        <v>6568</v>
      </c>
      <c r="M5123" t="s">
        <v>5488</v>
      </c>
      <c r="N5123" t="str">
        <f>"248030100414"</f>
        <v>248030100414</v>
      </c>
      <c r="O5123" t="str">
        <f>"460004200203033425"</f>
        <v>460004200203033425</v>
      </c>
    </row>
    <row r="5124" customFormat="1" spans="1:15">
      <c r="A5124">
        <v>6569</v>
      </c>
      <c r="B5124" t="s">
        <v>5489</v>
      </c>
      <c r="C5124" t="str">
        <f>"460031199405165622"</f>
        <v>460031199405165622</v>
      </c>
      <c r="D5124" t="str">
        <f>"248030402630"</f>
        <v>248030402630</v>
      </c>
      <c r="L5124">
        <v>6569</v>
      </c>
      <c r="M5124" t="s">
        <v>5489</v>
      </c>
      <c r="N5124" t="str">
        <f>"248030402630"</f>
        <v>248030402630</v>
      </c>
      <c r="O5124" t="str">
        <f>"460031199405165622"</f>
        <v>460031199405165622</v>
      </c>
    </row>
    <row r="5125" customFormat="1" spans="1:15">
      <c r="A5125">
        <v>6570</v>
      </c>
      <c r="B5125" t="s">
        <v>4778</v>
      </c>
      <c r="C5125" t="str">
        <f>"460027199604173786"</f>
        <v>460027199604173786</v>
      </c>
      <c r="D5125" t="str">
        <f>"248030501805"</f>
        <v>248030501805</v>
      </c>
      <c r="L5125">
        <v>6570</v>
      </c>
      <c r="M5125" t="s">
        <v>4778</v>
      </c>
      <c r="N5125" t="str">
        <f>"248030501805"</f>
        <v>248030501805</v>
      </c>
      <c r="O5125" t="str">
        <f>"460027199604173786"</f>
        <v>460027199604173786</v>
      </c>
    </row>
    <row r="5126" customFormat="1" spans="1:15">
      <c r="A5126">
        <v>6571</v>
      </c>
      <c r="B5126" t="s">
        <v>5490</v>
      </c>
      <c r="C5126" t="str">
        <f>"210902199104272089"</f>
        <v>210902199104272089</v>
      </c>
      <c r="L5126">
        <v>6571</v>
      </c>
      <c r="M5126" t="s">
        <v>5490</v>
      </c>
      <c r="O5126" t="str">
        <f>"210902199104272089"</f>
        <v>210902199104272089</v>
      </c>
    </row>
    <row r="5127" customFormat="1" spans="1:15">
      <c r="A5127">
        <v>6572</v>
      </c>
      <c r="B5127" t="s">
        <v>5491</v>
      </c>
      <c r="C5127" t="str">
        <f>"460004199705155224"</f>
        <v>460004199705155224</v>
      </c>
      <c r="D5127" t="str">
        <f>"248030403213"</f>
        <v>248030403213</v>
      </c>
      <c r="L5127">
        <v>6572</v>
      </c>
      <c r="M5127" t="s">
        <v>5491</v>
      </c>
      <c r="N5127" t="str">
        <f>"248030403213"</f>
        <v>248030403213</v>
      </c>
      <c r="O5127" t="str">
        <f>"460004199705155224"</f>
        <v>460004199705155224</v>
      </c>
    </row>
    <row r="5128" customFormat="1" spans="1:15">
      <c r="A5128">
        <v>6573</v>
      </c>
      <c r="B5128" t="s">
        <v>5492</v>
      </c>
      <c r="C5128" t="str">
        <f>"460027200201220408"</f>
        <v>460027200201220408</v>
      </c>
      <c r="L5128">
        <v>6573</v>
      </c>
      <c r="M5128" t="s">
        <v>5492</v>
      </c>
      <c r="O5128" t="str">
        <f>"460027200201220408"</f>
        <v>460027200201220408</v>
      </c>
    </row>
    <row r="5129" customFormat="1" spans="1:15">
      <c r="A5129">
        <v>6574</v>
      </c>
      <c r="B5129" t="s">
        <v>5493</v>
      </c>
      <c r="C5129" t="str">
        <f>"460103200210190022"</f>
        <v>460103200210190022</v>
      </c>
      <c r="D5129" t="str">
        <f>"248030102618"</f>
        <v>248030102618</v>
      </c>
      <c r="L5129">
        <v>6574</v>
      </c>
      <c r="M5129" t="s">
        <v>5493</v>
      </c>
      <c r="N5129" t="str">
        <f>"248030102618"</f>
        <v>248030102618</v>
      </c>
      <c r="O5129" t="str">
        <f>"460103200210190022"</f>
        <v>460103200210190022</v>
      </c>
    </row>
    <row r="5130" customFormat="1" spans="1:15">
      <c r="A5130">
        <v>6575</v>
      </c>
      <c r="B5130" t="s">
        <v>5494</v>
      </c>
      <c r="C5130" t="str">
        <f>"460028199704270045"</f>
        <v>460028199704270045</v>
      </c>
      <c r="D5130" t="str">
        <f>"248030200226"</f>
        <v>248030200226</v>
      </c>
      <c r="L5130">
        <v>6575</v>
      </c>
      <c r="M5130" t="s">
        <v>5494</v>
      </c>
      <c r="N5130" t="str">
        <f>"248030200226"</f>
        <v>248030200226</v>
      </c>
      <c r="O5130" t="str">
        <f>"460028199704270045"</f>
        <v>460028199704270045</v>
      </c>
    </row>
    <row r="5131" customFormat="1" spans="1:15">
      <c r="A5131">
        <v>6576</v>
      </c>
      <c r="B5131" t="s">
        <v>5495</v>
      </c>
      <c r="C5131" t="str">
        <f>"460005200107123224"</f>
        <v>460005200107123224</v>
      </c>
      <c r="L5131">
        <v>6576</v>
      </c>
      <c r="M5131" t="s">
        <v>5495</v>
      </c>
      <c r="O5131" t="str">
        <f>"460005200107123224"</f>
        <v>460005200107123224</v>
      </c>
    </row>
    <row r="5132" customFormat="1" spans="1:15">
      <c r="A5132">
        <v>6577</v>
      </c>
      <c r="B5132" t="s">
        <v>5496</v>
      </c>
      <c r="C5132" t="str">
        <f>"460104199307051249"</f>
        <v>460104199307051249</v>
      </c>
      <c r="D5132" t="str">
        <f>"248030501410"</f>
        <v>248030501410</v>
      </c>
      <c r="L5132">
        <v>6577</v>
      </c>
      <c r="M5132" t="s">
        <v>5496</v>
      </c>
      <c r="N5132" t="str">
        <f>"248030501410"</f>
        <v>248030501410</v>
      </c>
      <c r="O5132" t="str">
        <f>"460104199307051249"</f>
        <v>460104199307051249</v>
      </c>
    </row>
    <row r="5133" customFormat="1" spans="1:15">
      <c r="A5133">
        <v>6578</v>
      </c>
      <c r="B5133" t="s">
        <v>5497</v>
      </c>
      <c r="C5133" t="str">
        <f>"460002199008111522"</f>
        <v>460002199008111522</v>
      </c>
      <c r="D5133" t="str">
        <f>"248030301416"</f>
        <v>248030301416</v>
      </c>
      <c r="L5133">
        <v>6578</v>
      </c>
      <c r="M5133" t="s">
        <v>5497</v>
      </c>
      <c r="N5133" t="str">
        <f>"248030301416"</f>
        <v>248030301416</v>
      </c>
      <c r="O5133" t="str">
        <f>"460002199008111522"</f>
        <v>460002199008111522</v>
      </c>
    </row>
    <row r="5134" customFormat="1" spans="1:15">
      <c r="A5134">
        <v>6579</v>
      </c>
      <c r="B5134" t="s">
        <v>5498</v>
      </c>
      <c r="C5134" t="str">
        <f>"46010220020822272X"</f>
        <v>46010220020822272X</v>
      </c>
      <c r="D5134" t="str">
        <f>"248030103517"</f>
        <v>248030103517</v>
      </c>
      <c r="L5134">
        <v>6579</v>
      </c>
      <c r="M5134" t="s">
        <v>5498</v>
      </c>
      <c r="N5134" t="str">
        <f>"248030103517"</f>
        <v>248030103517</v>
      </c>
      <c r="O5134" t="str">
        <f>"46010220020822272X"</f>
        <v>46010220020822272X</v>
      </c>
    </row>
    <row r="5135" customFormat="1" spans="1:15">
      <c r="A5135">
        <v>6580</v>
      </c>
      <c r="B5135" t="s">
        <v>5499</v>
      </c>
      <c r="C5135" t="str">
        <f>"460006199901252729"</f>
        <v>460006199901252729</v>
      </c>
      <c r="D5135" t="str">
        <f>"248030302120"</f>
        <v>248030302120</v>
      </c>
      <c r="L5135">
        <v>6580</v>
      </c>
      <c r="M5135" t="s">
        <v>5499</v>
      </c>
      <c r="N5135" t="str">
        <f>"248030302120"</f>
        <v>248030302120</v>
      </c>
      <c r="O5135" t="str">
        <f>"460006199901252729"</f>
        <v>460006199901252729</v>
      </c>
    </row>
    <row r="5136" customFormat="1" spans="1:15">
      <c r="A5136">
        <v>6581</v>
      </c>
      <c r="B5136" t="s">
        <v>5500</v>
      </c>
      <c r="C5136" t="str">
        <f>"460006199511182323"</f>
        <v>460006199511182323</v>
      </c>
      <c r="D5136" t="str">
        <f>"248030101804"</f>
        <v>248030101804</v>
      </c>
      <c r="L5136">
        <v>6581</v>
      </c>
      <c r="M5136" t="s">
        <v>5500</v>
      </c>
      <c r="N5136" t="str">
        <f>"248030101804"</f>
        <v>248030101804</v>
      </c>
      <c r="O5136" t="str">
        <f>"460006199511182323"</f>
        <v>460006199511182323</v>
      </c>
    </row>
    <row r="5137" customFormat="1" spans="1:15">
      <c r="A5137">
        <v>6582</v>
      </c>
      <c r="B5137" t="s">
        <v>5501</v>
      </c>
      <c r="C5137" t="str">
        <f>"469023199703207016"</f>
        <v>469023199703207016</v>
      </c>
      <c r="D5137" t="str">
        <f>"248030201220"</f>
        <v>248030201220</v>
      </c>
      <c r="L5137">
        <v>6582</v>
      </c>
      <c r="M5137" t="s">
        <v>5501</v>
      </c>
      <c r="N5137" t="str">
        <f>"248030201220"</f>
        <v>248030201220</v>
      </c>
      <c r="O5137" t="str">
        <f>"469023199703207016"</f>
        <v>469023199703207016</v>
      </c>
    </row>
    <row r="5138" customFormat="1" spans="1:15">
      <c r="A5138">
        <v>6583</v>
      </c>
      <c r="B5138" t="s">
        <v>5502</v>
      </c>
      <c r="C5138" t="str">
        <f>"460003199305272222"</f>
        <v>460003199305272222</v>
      </c>
      <c r="D5138" t="str">
        <f>"248030403708"</f>
        <v>248030403708</v>
      </c>
      <c r="L5138">
        <v>6583</v>
      </c>
      <c r="M5138" t="s">
        <v>5502</v>
      </c>
      <c r="N5138" t="str">
        <f>"248030403708"</f>
        <v>248030403708</v>
      </c>
      <c r="O5138" t="str">
        <f>"460003199305272222"</f>
        <v>460003199305272222</v>
      </c>
    </row>
    <row r="5139" customFormat="1" spans="1:15">
      <c r="A5139">
        <v>6584</v>
      </c>
      <c r="B5139" t="s">
        <v>5503</v>
      </c>
      <c r="C5139" t="str">
        <f>"46003320010929388X"</f>
        <v>46003320010929388X</v>
      </c>
      <c r="D5139" t="str">
        <f>"248030103205"</f>
        <v>248030103205</v>
      </c>
      <c r="L5139">
        <v>6584</v>
      </c>
      <c r="M5139" t="s">
        <v>5503</v>
      </c>
      <c r="N5139" t="str">
        <f>"248030103205"</f>
        <v>248030103205</v>
      </c>
      <c r="O5139" t="str">
        <f>"46003320010929388X"</f>
        <v>46003320010929388X</v>
      </c>
    </row>
    <row r="5140" customFormat="1" spans="1:15">
      <c r="A5140">
        <v>6585</v>
      </c>
      <c r="B5140" t="s">
        <v>5504</v>
      </c>
      <c r="C5140" t="str">
        <f>"61232719891119014X"</f>
        <v>61232719891119014X</v>
      </c>
      <c r="L5140">
        <v>6585</v>
      </c>
      <c r="M5140" t="s">
        <v>5504</v>
      </c>
      <c r="O5140" t="str">
        <f>"61232719891119014X"</f>
        <v>61232719891119014X</v>
      </c>
    </row>
    <row r="5141" customFormat="1" spans="1:15">
      <c r="A5141">
        <v>6586</v>
      </c>
      <c r="B5141" t="s">
        <v>5505</v>
      </c>
      <c r="C5141" t="str">
        <f>"460004199510180868"</f>
        <v>460004199510180868</v>
      </c>
      <c r="D5141" t="str">
        <f>"248030200628"</f>
        <v>248030200628</v>
      </c>
      <c r="L5141">
        <v>6586</v>
      </c>
      <c r="M5141" t="s">
        <v>5505</v>
      </c>
      <c r="N5141" t="str">
        <f>"248030200628"</f>
        <v>248030200628</v>
      </c>
      <c r="O5141" t="str">
        <f>"460004199510180868"</f>
        <v>460004199510180868</v>
      </c>
    </row>
    <row r="5142" customFormat="1" spans="1:15">
      <c r="A5142">
        <v>6587</v>
      </c>
      <c r="B5142" t="s">
        <v>5506</v>
      </c>
      <c r="C5142" t="str">
        <f>"460027199904254414"</f>
        <v>460027199904254414</v>
      </c>
      <c r="D5142" t="str">
        <f>"248030201518"</f>
        <v>248030201518</v>
      </c>
      <c r="L5142">
        <v>6587</v>
      </c>
      <c r="M5142" t="s">
        <v>5506</v>
      </c>
      <c r="N5142" t="str">
        <f>"248030201518"</f>
        <v>248030201518</v>
      </c>
      <c r="O5142" t="str">
        <f>"460027199904254414"</f>
        <v>460027199904254414</v>
      </c>
    </row>
    <row r="5143" customFormat="1" spans="1:15">
      <c r="A5143">
        <v>6588</v>
      </c>
      <c r="B5143" t="s">
        <v>5507</v>
      </c>
      <c r="C5143" t="str">
        <f>"460004199003080061"</f>
        <v>460004199003080061</v>
      </c>
      <c r="D5143" t="str">
        <f>"248030500615"</f>
        <v>248030500615</v>
      </c>
      <c r="L5143">
        <v>6588</v>
      </c>
      <c r="M5143" t="s">
        <v>5507</v>
      </c>
      <c r="N5143" t="str">
        <f>"248030500615"</f>
        <v>248030500615</v>
      </c>
      <c r="O5143" t="str">
        <f>"460004199003080061"</f>
        <v>460004199003080061</v>
      </c>
    </row>
    <row r="5144" customFormat="1" spans="1:15">
      <c r="A5144">
        <v>6589</v>
      </c>
      <c r="B5144" t="s">
        <v>5508</v>
      </c>
      <c r="C5144" t="str">
        <f>"460003199901092818"</f>
        <v>460003199901092818</v>
      </c>
      <c r="D5144" t="str">
        <f>"248030203830"</f>
        <v>248030203830</v>
      </c>
      <c r="L5144">
        <v>6589</v>
      </c>
      <c r="M5144" t="s">
        <v>5508</v>
      </c>
      <c r="N5144" t="str">
        <f>"248030203830"</f>
        <v>248030203830</v>
      </c>
      <c r="O5144" t="str">
        <f>"460003199901092818"</f>
        <v>460003199901092818</v>
      </c>
    </row>
    <row r="5145" customFormat="1" spans="1:15">
      <c r="A5145">
        <v>6590</v>
      </c>
      <c r="B5145" t="s">
        <v>5509</v>
      </c>
      <c r="C5145" t="str">
        <f>"460003199010085825"</f>
        <v>460003199010085825</v>
      </c>
      <c r="D5145" t="str">
        <f>"248030401103"</f>
        <v>248030401103</v>
      </c>
      <c r="L5145">
        <v>6590</v>
      </c>
      <c r="M5145" t="s">
        <v>5509</v>
      </c>
      <c r="N5145" t="str">
        <f>"248030401103"</f>
        <v>248030401103</v>
      </c>
      <c r="O5145" t="str">
        <f>"460003199010085825"</f>
        <v>460003199010085825</v>
      </c>
    </row>
    <row r="5146" customFormat="1" spans="1:15">
      <c r="A5146">
        <v>6591</v>
      </c>
      <c r="B5146" t="s">
        <v>5510</v>
      </c>
      <c r="C5146" t="str">
        <f>"46900319970816892X"</f>
        <v>46900319970816892X</v>
      </c>
      <c r="D5146" t="str">
        <f>"248030103408"</f>
        <v>248030103408</v>
      </c>
      <c r="L5146">
        <v>6591</v>
      </c>
      <c r="M5146" t="s">
        <v>5510</v>
      </c>
      <c r="N5146" t="str">
        <f>"248030103408"</f>
        <v>248030103408</v>
      </c>
      <c r="O5146" t="str">
        <f>"46900319970816892X"</f>
        <v>46900319970816892X</v>
      </c>
    </row>
    <row r="5147" customFormat="1" spans="1:15">
      <c r="A5147">
        <v>6592</v>
      </c>
      <c r="B5147" t="s">
        <v>5511</v>
      </c>
      <c r="C5147" t="str">
        <f>"410425199909075546"</f>
        <v>410425199909075546</v>
      </c>
      <c r="D5147" t="str">
        <f>"248030100121"</f>
        <v>248030100121</v>
      </c>
      <c r="L5147">
        <v>6592</v>
      </c>
      <c r="M5147" t="s">
        <v>5511</v>
      </c>
      <c r="N5147" t="str">
        <f>"248030100121"</f>
        <v>248030100121</v>
      </c>
      <c r="O5147" t="str">
        <f>"410425199909075546"</f>
        <v>410425199909075546</v>
      </c>
    </row>
    <row r="5148" customFormat="1" spans="1:15">
      <c r="A5148">
        <v>6593</v>
      </c>
      <c r="B5148" t="s">
        <v>5512</v>
      </c>
      <c r="C5148" t="str">
        <f>"460004199511240631"</f>
        <v>460004199511240631</v>
      </c>
      <c r="D5148" t="str">
        <f>"248030203806"</f>
        <v>248030203806</v>
      </c>
      <c r="L5148">
        <v>6593</v>
      </c>
      <c r="M5148" t="s">
        <v>5512</v>
      </c>
      <c r="N5148" t="str">
        <f>"248030203806"</f>
        <v>248030203806</v>
      </c>
      <c r="O5148" t="str">
        <f>"460004199511240631"</f>
        <v>460004199511240631</v>
      </c>
    </row>
    <row r="5149" customFormat="1" spans="1:15">
      <c r="A5149">
        <v>6594</v>
      </c>
      <c r="B5149" t="s">
        <v>5513</v>
      </c>
      <c r="C5149" t="str">
        <f>"411422199512240322"</f>
        <v>411422199512240322</v>
      </c>
      <c r="D5149" t="str">
        <f>"248030102103"</f>
        <v>248030102103</v>
      </c>
      <c r="L5149">
        <v>6594</v>
      </c>
      <c r="M5149" t="s">
        <v>5513</v>
      </c>
      <c r="N5149" t="str">
        <f>"248030102103"</f>
        <v>248030102103</v>
      </c>
      <c r="O5149" t="str">
        <f>"411422199512240322"</f>
        <v>411422199512240322</v>
      </c>
    </row>
    <row r="5150" customFormat="1" spans="1:15">
      <c r="A5150">
        <v>6595</v>
      </c>
      <c r="B5150" t="s">
        <v>5514</v>
      </c>
      <c r="C5150" t="str">
        <f>"441781199704253525"</f>
        <v>441781199704253525</v>
      </c>
      <c r="D5150" t="str">
        <f>"248030200220"</f>
        <v>248030200220</v>
      </c>
      <c r="L5150">
        <v>6595</v>
      </c>
      <c r="M5150" t="s">
        <v>5514</v>
      </c>
      <c r="N5150" t="str">
        <f>"248030200220"</f>
        <v>248030200220</v>
      </c>
      <c r="O5150" t="str">
        <f>"441781199704253525"</f>
        <v>441781199704253525</v>
      </c>
    </row>
    <row r="5151" customFormat="1" spans="1:15">
      <c r="A5151">
        <v>6597</v>
      </c>
      <c r="B5151" t="s">
        <v>5515</v>
      </c>
      <c r="C5151" t="str">
        <f>"21010619850513432X"</f>
        <v>21010619850513432X</v>
      </c>
      <c r="D5151" t="str">
        <f>"248030201330"</f>
        <v>248030201330</v>
      </c>
      <c r="L5151">
        <v>6597</v>
      </c>
      <c r="M5151" t="s">
        <v>5515</v>
      </c>
      <c r="N5151" t="str">
        <f>"248030201330"</f>
        <v>248030201330</v>
      </c>
      <c r="O5151" t="str">
        <f>"21010619850513432X"</f>
        <v>21010619850513432X</v>
      </c>
    </row>
    <row r="5152" customFormat="1" spans="1:15">
      <c r="A5152">
        <v>6598</v>
      </c>
      <c r="B5152" t="s">
        <v>5516</v>
      </c>
      <c r="C5152" t="str">
        <f>"460026199910033929"</f>
        <v>460026199910033929</v>
      </c>
      <c r="L5152">
        <v>6598</v>
      </c>
      <c r="M5152" t="s">
        <v>5516</v>
      </c>
      <c r="O5152" t="str">
        <f>"460026199910033929"</f>
        <v>460026199910033929</v>
      </c>
    </row>
    <row r="5153" customFormat="1" spans="1:15">
      <c r="A5153">
        <v>6601</v>
      </c>
      <c r="B5153" t="s">
        <v>5517</v>
      </c>
      <c r="C5153" t="str">
        <f>"460004199802123427"</f>
        <v>460004199802123427</v>
      </c>
      <c r="D5153" t="str">
        <f>"248030503904"</f>
        <v>248030503904</v>
      </c>
      <c r="L5153">
        <v>6601</v>
      </c>
      <c r="M5153" t="s">
        <v>5517</v>
      </c>
      <c r="N5153" t="str">
        <f>"248030503904"</f>
        <v>248030503904</v>
      </c>
      <c r="O5153" t="str">
        <f>"460004199802123427"</f>
        <v>460004199802123427</v>
      </c>
    </row>
    <row r="5154" customFormat="1" spans="1:15">
      <c r="A5154">
        <v>6602</v>
      </c>
      <c r="B5154" t="s">
        <v>5518</v>
      </c>
      <c r="C5154" t="str">
        <f>"460002200008105427"</f>
        <v>460002200008105427</v>
      </c>
      <c r="D5154" t="str">
        <f>"248030202206"</f>
        <v>248030202206</v>
      </c>
      <c r="L5154">
        <v>6602</v>
      </c>
      <c r="M5154" t="s">
        <v>5518</v>
      </c>
      <c r="N5154" t="str">
        <f>"248030202206"</f>
        <v>248030202206</v>
      </c>
      <c r="O5154" t="str">
        <f>"460002200008105427"</f>
        <v>460002200008105427</v>
      </c>
    </row>
    <row r="5155" customFormat="1" spans="1:15">
      <c r="A5155">
        <v>6603</v>
      </c>
      <c r="B5155" t="s">
        <v>5519</v>
      </c>
      <c r="C5155" t="str">
        <f>"440903199612131548"</f>
        <v>440903199612131548</v>
      </c>
      <c r="L5155">
        <v>6603</v>
      </c>
      <c r="M5155" t="s">
        <v>5519</v>
      </c>
      <c r="O5155" t="str">
        <f>"440903199612131548"</f>
        <v>440903199612131548</v>
      </c>
    </row>
    <row r="5156" customFormat="1" spans="1:15">
      <c r="A5156">
        <v>6604</v>
      </c>
      <c r="B5156" t="s">
        <v>5520</v>
      </c>
      <c r="C5156" t="str">
        <f>"460028199911170848"</f>
        <v>460028199911170848</v>
      </c>
      <c r="D5156" t="str">
        <f>"248030301813"</f>
        <v>248030301813</v>
      </c>
      <c r="L5156">
        <v>6604</v>
      </c>
      <c r="M5156" t="s">
        <v>5520</v>
      </c>
      <c r="N5156" t="str">
        <f>"248030301813"</f>
        <v>248030301813</v>
      </c>
      <c r="O5156" t="str">
        <f>"460028199911170848"</f>
        <v>460028199911170848</v>
      </c>
    </row>
    <row r="5157" customFormat="1" spans="1:15">
      <c r="A5157">
        <v>6605</v>
      </c>
      <c r="B5157" t="s">
        <v>5521</v>
      </c>
      <c r="C5157" t="str">
        <f>"460007199508307611"</f>
        <v>460007199508307611</v>
      </c>
      <c r="L5157">
        <v>6605</v>
      </c>
      <c r="M5157" t="s">
        <v>5521</v>
      </c>
      <c r="O5157" t="str">
        <f>"460007199508307611"</f>
        <v>460007199508307611</v>
      </c>
    </row>
    <row r="5158" customFormat="1" spans="1:15">
      <c r="A5158">
        <v>6607</v>
      </c>
      <c r="B5158" t="s">
        <v>5522</v>
      </c>
      <c r="C5158" t="str">
        <f>"460034199801101822"</f>
        <v>460034199801101822</v>
      </c>
      <c r="D5158" t="str">
        <f>"248030401802"</f>
        <v>248030401802</v>
      </c>
      <c r="L5158">
        <v>6607</v>
      </c>
      <c r="M5158" t="s">
        <v>5522</v>
      </c>
      <c r="N5158" t="str">
        <f>"248030401802"</f>
        <v>248030401802</v>
      </c>
      <c r="O5158" t="str">
        <f>"460034199801101822"</f>
        <v>460034199801101822</v>
      </c>
    </row>
    <row r="5159" customFormat="1" spans="1:15">
      <c r="A5159">
        <v>6608</v>
      </c>
      <c r="B5159" t="s">
        <v>5523</v>
      </c>
      <c r="C5159" t="str">
        <f>"460004200011250046"</f>
        <v>460004200011250046</v>
      </c>
      <c r="D5159" t="str">
        <f>"248030104106"</f>
        <v>248030104106</v>
      </c>
      <c r="L5159">
        <v>6608</v>
      </c>
      <c r="M5159" t="s">
        <v>5523</v>
      </c>
      <c r="N5159" t="str">
        <f>"248030104106"</f>
        <v>248030104106</v>
      </c>
      <c r="O5159" t="str">
        <f>"460004200011250046"</f>
        <v>460004200011250046</v>
      </c>
    </row>
    <row r="5160" customFormat="1" spans="1:15">
      <c r="A5160">
        <v>6609</v>
      </c>
      <c r="B5160" t="s">
        <v>5524</v>
      </c>
      <c r="C5160" t="str">
        <f>"460004198910035024"</f>
        <v>460004198910035024</v>
      </c>
      <c r="L5160">
        <v>6609</v>
      </c>
      <c r="M5160" t="s">
        <v>5524</v>
      </c>
      <c r="O5160" t="str">
        <f>"460004198910035024"</f>
        <v>460004198910035024</v>
      </c>
    </row>
    <row r="5161" customFormat="1" spans="1:15">
      <c r="A5161">
        <v>6611</v>
      </c>
      <c r="B5161" t="s">
        <v>5525</v>
      </c>
      <c r="C5161" t="str">
        <f>"460006200006034026"</f>
        <v>460006200006034026</v>
      </c>
      <c r="D5161" t="str">
        <f>"248030503728"</f>
        <v>248030503728</v>
      </c>
      <c r="L5161">
        <v>6611</v>
      </c>
      <c r="M5161" t="s">
        <v>5525</v>
      </c>
      <c r="N5161" t="str">
        <f>"248030503728"</f>
        <v>248030503728</v>
      </c>
      <c r="O5161" t="str">
        <f>"460006200006034026"</f>
        <v>460006200006034026</v>
      </c>
    </row>
    <row r="5162" customFormat="1" spans="1:15">
      <c r="A5162">
        <v>6612</v>
      </c>
      <c r="B5162" t="s">
        <v>5526</v>
      </c>
      <c r="C5162" t="str">
        <f>"450923199809254864"</f>
        <v>450923199809254864</v>
      </c>
      <c r="D5162" t="str">
        <f>"248030203903"</f>
        <v>248030203903</v>
      </c>
      <c r="L5162">
        <v>6612</v>
      </c>
      <c r="M5162" t="s">
        <v>5526</v>
      </c>
      <c r="N5162" t="str">
        <f>"248030203903"</f>
        <v>248030203903</v>
      </c>
      <c r="O5162" t="str">
        <f>"450923199809254864"</f>
        <v>450923199809254864</v>
      </c>
    </row>
    <row r="5163" customFormat="1" spans="1:15">
      <c r="A5163">
        <v>6613</v>
      </c>
      <c r="B5163" t="s">
        <v>4161</v>
      </c>
      <c r="C5163" t="str">
        <f>"460006198911044427"</f>
        <v>460006198911044427</v>
      </c>
      <c r="D5163" t="str">
        <f>"248030300413"</f>
        <v>248030300413</v>
      </c>
      <c r="L5163">
        <v>6613</v>
      </c>
      <c r="M5163" t="s">
        <v>4161</v>
      </c>
      <c r="N5163" t="str">
        <f>"248030300413"</f>
        <v>248030300413</v>
      </c>
      <c r="O5163" t="str">
        <f>"460006198911044427"</f>
        <v>460006198911044427</v>
      </c>
    </row>
    <row r="5164" customFormat="1" spans="1:15">
      <c r="A5164">
        <v>6614</v>
      </c>
      <c r="B5164" t="s">
        <v>5527</v>
      </c>
      <c r="C5164" t="str">
        <f>"46002719960906292X"</f>
        <v>46002719960906292X</v>
      </c>
      <c r="D5164" t="str">
        <f>"248030502601"</f>
        <v>248030502601</v>
      </c>
      <c r="L5164">
        <v>6614</v>
      </c>
      <c r="M5164" t="s">
        <v>5527</v>
      </c>
      <c r="N5164" t="str">
        <f>"248030502601"</f>
        <v>248030502601</v>
      </c>
      <c r="O5164" t="str">
        <f>"46002719960906292X"</f>
        <v>46002719960906292X</v>
      </c>
    </row>
    <row r="5165" customFormat="1" spans="1:15">
      <c r="A5165">
        <v>6615</v>
      </c>
      <c r="B5165" t="s">
        <v>5528</v>
      </c>
      <c r="C5165" t="str">
        <f>"460035199111020423"</f>
        <v>460035199111020423</v>
      </c>
      <c r="D5165" t="str">
        <f>"248030502812"</f>
        <v>248030502812</v>
      </c>
      <c r="L5165">
        <v>6615</v>
      </c>
      <c r="M5165" t="s">
        <v>5528</v>
      </c>
      <c r="N5165" t="str">
        <f>"248030502812"</f>
        <v>248030502812</v>
      </c>
      <c r="O5165" t="str">
        <f>"460035199111020423"</f>
        <v>460035199111020423</v>
      </c>
    </row>
    <row r="5166" customFormat="1" spans="1:15">
      <c r="A5166">
        <v>6616</v>
      </c>
      <c r="B5166" t="s">
        <v>5529</v>
      </c>
      <c r="C5166" t="str">
        <f>"460006199506181625"</f>
        <v>460006199506181625</v>
      </c>
      <c r="D5166" t="str">
        <f>"248030302723"</f>
        <v>248030302723</v>
      </c>
      <c r="L5166">
        <v>6616</v>
      </c>
      <c r="M5166" t="s">
        <v>5529</v>
      </c>
      <c r="N5166" t="str">
        <f>"248030302723"</f>
        <v>248030302723</v>
      </c>
      <c r="O5166" t="str">
        <f>"460006199506181625"</f>
        <v>460006199506181625</v>
      </c>
    </row>
    <row r="5167" customFormat="1" spans="1:15">
      <c r="A5167">
        <v>6620</v>
      </c>
      <c r="B5167" t="s">
        <v>5530</v>
      </c>
      <c r="C5167" t="str">
        <f>"460034199107054720"</f>
        <v>460034199107054720</v>
      </c>
      <c r="D5167" t="str">
        <f>"248030503623"</f>
        <v>248030503623</v>
      </c>
      <c r="L5167">
        <v>6620</v>
      </c>
      <c r="M5167" t="s">
        <v>5530</v>
      </c>
      <c r="N5167" t="str">
        <f>"248030503623"</f>
        <v>248030503623</v>
      </c>
      <c r="O5167" t="str">
        <f>"460034199107054720"</f>
        <v>460034199107054720</v>
      </c>
    </row>
    <row r="5168" customFormat="1" spans="1:15">
      <c r="A5168">
        <v>6621</v>
      </c>
      <c r="B5168" t="s">
        <v>5531</v>
      </c>
      <c r="C5168" t="str">
        <f>"412822199906065267"</f>
        <v>412822199906065267</v>
      </c>
      <c r="D5168" t="str">
        <f>"248030101821"</f>
        <v>248030101821</v>
      </c>
      <c r="L5168">
        <v>6621</v>
      </c>
      <c r="M5168" t="s">
        <v>5531</v>
      </c>
      <c r="N5168" t="str">
        <f>"248030101821"</f>
        <v>248030101821</v>
      </c>
      <c r="O5168" t="str">
        <f>"412822199906065267"</f>
        <v>412822199906065267</v>
      </c>
    </row>
    <row r="5169" customFormat="1" spans="1:15">
      <c r="A5169">
        <v>6622</v>
      </c>
      <c r="B5169" t="s">
        <v>5532</v>
      </c>
      <c r="C5169" t="str">
        <f>"460006200102060224"</f>
        <v>460006200102060224</v>
      </c>
      <c r="D5169" t="str">
        <f>"248030302616"</f>
        <v>248030302616</v>
      </c>
      <c r="L5169">
        <v>6622</v>
      </c>
      <c r="M5169" t="s">
        <v>5532</v>
      </c>
      <c r="N5169" t="str">
        <f>"248030302616"</f>
        <v>248030302616</v>
      </c>
      <c r="O5169" t="str">
        <f>"460006200102060224"</f>
        <v>460006200102060224</v>
      </c>
    </row>
    <row r="5170" customFormat="1" spans="1:15">
      <c r="A5170">
        <v>6623</v>
      </c>
      <c r="B5170" t="s">
        <v>5533</v>
      </c>
      <c r="C5170" t="str">
        <f>"469027199912114786"</f>
        <v>469027199912114786</v>
      </c>
      <c r="D5170" t="str">
        <f>"248030402627"</f>
        <v>248030402627</v>
      </c>
      <c r="L5170">
        <v>6623</v>
      </c>
      <c r="M5170" t="s">
        <v>5533</v>
      </c>
      <c r="N5170" t="str">
        <f>"248030402627"</f>
        <v>248030402627</v>
      </c>
      <c r="O5170" t="str">
        <f>"469027199912114786"</f>
        <v>469027199912114786</v>
      </c>
    </row>
    <row r="5171" customFormat="1" spans="1:15">
      <c r="A5171">
        <v>6625</v>
      </c>
      <c r="B5171" t="s">
        <v>5534</v>
      </c>
      <c r="C5171" t="str">
        <f>"460027199810232329"</f>
        <v>460027199810232329</v>
      </c>
      <c r="D5171" t="str">
        <f>"248030104026"</f>
        <v>248030104026</v>
      </c>
      <c r="L5171">
        <v>6625</v>
      </c>
      <c r="M5171" t="s">
        <v>5534</v>
      </c>
      <c r="N5171" t="str">
        <f>"248030104026"</f>
        <v>248030104026</v>
      </c>
      <c r="O5171" t="str">
        <f>"460027199810232329"</f>
        <v>460027199810232329</v>
      </c>
    </row>
    <row r="5172" customFormat="1" spans="1:15">
      <c r="A5172">
        <v>6626</v>
      </c>
      <c r="B5172" t="s">
        <v>5535</v>
      </c>
      <c r="C5172" t="str">
        <f>"46000619970206782X"</f>
        <v>46000619970206782X</v>
      </c>
      <c r="L5172">
        <v>6626</v>
      </c>
      <c r="M5172" t="s">
        <v>5535</v>
      </c>
      <c r="O5172" t="str">
        <f>"46000619970206782X"</f>
        <v>46000619970206782X</v>
      </c>
    </row>
    <row r="5173" customFormat="1" spans="1:15">
      <c r="A5173">
        <v>6627</v>
      </c>
      <c r="B5173" t="s">
        <v>5536</v>
      </c>
      <c r="C5173" t="str">
        <f>"460006199911088723"</f>
        <v>460006199911088723</v>
      </c>
      <c r="D5173" t="str">
        <f>"248030203605"</f>
        <v>248030203605</v>
      </c>
      <c r="L5173">
        <v>6627</v>
      </c>
      <c r="M5173" t="s">
        <v>5536</v>
      </c>
      <c r="N5173" t="str">
        <f>"248030203605"</f>
        <v>248030203605</v>
      </c>
      <c r="O5173" t="str">
        <f>"460006199911088723"</f>
        <v>460006199911088723</v>
      </c>
    </row>
    <row r="5174" customFormat="1" spans="1:15">
      <c r="A5174">
        <v>6628</v>
      </c>
      <c r="B5174" t="s">
        <v>5537</v>
      </c>
      <c r="C5174" t="str">
        <f>"460106200109034120"</f>
        <v>460106200109034120</v>
      </c>
      <c r="D5174" t="str">
        <f>"248030501115"</f>
        <v>248030501115</v>
      </c>
      <c r="L5174">
        <v>6628</v>
      </c>
      <c r="M5174" t="s">
        <v>5537</v>
      </c>
      <c r="N5174" t="str">
        <f>"248030501115"</f>
        <v>248030501115</v>
      </c>
      <c r="O5174" t="str">
        <f>"460106200109034120"</f>
        <v>460106200109034120</v>
      </c>
    </row>
    <row r="5175" customFormat="1" spans="1:15">
      <c r="A5175">
        <v>6630</v>
      </c>
      <c r="B5175" t="s">
        <v>5538</v>
      </c>
      <c r="C5175" t="str">
        <f>"460025198908064522"</f>
        <v>460025198908064522</v>
      </c>
      <c r="D5175" t="str">
        <f>"248030501621"</f>
        <v>248030501621</v>
      </c>
      <c r="L5175">
        <v>6630</v>
      </c>
      <c r="M5175" t="s">
        <v>5538</v>
      </c>
      <c r="N5175" t="str">
        <f>"248030501621"</f>
        <v>248030501621</v>
      </c>
      <c r="O5175" t="str">
        <f>"460025198908064522"</f>
        <v>460025198908064522</v>
      </c>
    </row>
    <row r="5176" customFormat="1" spans="1:15">
      <c r="A5176">
        <v>6631</v>
      </c>
      <c r="B5176" t="s">
        <v>5539</v>
      </c>
      <c r="C5176" t="str">
        <f>"460300199906040029"</f>
        <v>460300199906040029</v>
      </c>
      <c r="D5176" t="str">
        <f>"248030101913"</f>
        <v>248030101913</v>
      </c>
      <c r="L5176">
        <v>6631</v>
      </c>
      <c r="M5176" t="s">
        <v>5539</v>
      </c>
      <c r="N5176" t="str">
        <f>"248030101913"</f>
        <v>248030101913</v>
      </c>
      <c r="O5176" t="str">
        <f>"460300199906040029"</f>
        <v>460300199906040029</v>
      </c>
    </row>
    <row r="5177" customFormat="1" spans="1:15">
      <c r="A5177">
        <v>6632</v>
      </c>
      <c r="B5177" t="s">
        <v>5540</v>
      </c>
      <c r="C5177" t="str">
        <f>"150102200109250124"</f>
        <v>150102200109250124</v>
      </c>
      <c r="D5177" t="str">
        <f>"248030501017"</f>
        <v>248030501017</v>
      </c>
      <c r="L5177">
        <v>6632</v>
      </c>
      <c r="M5177" t="s">
        <v>5540</v>
      </c>
      <c r="N5177" t="str">
        <f>"248030501017"</f>
        <v>248030501017</v>
      </c>
      <c r="O5177" t="str">
        <f>"150102200109250124"</f>
        <v>150102200109250124</v>
      </c>
    </row>
    <row r="5178" customFormat="1" spans="1:15">
      <c r="A5178">
        <v>6633</v>
      </c>
      <c r="B5178" t="s">
        <v>5541</v>
      </c>
      <c r="C5178" t="str">
        <f>"469003200008185169"</f>
        <v>469003200008185169</v>
      </c>
      <c r="D5178" t="str">
        <f>"248030101406"</f>
        <v>248030101406</v>
      </c>
      <c r="L5178">
        <v>6633</v>
      </c>
      <c r="M5178" t="s">
        <v>5541</v>
      </c>
      <c r="N5178" t="str">
        <f>"248030101406"</f>
        <v>248030101406</v>
      </c>
      <c r="O5178" t="str">
        <f>"469003200008185169"</f>
        <v>469003200008185169</v>
      </c>
    </row>
    <row r="5179" customFormat="1" spans="1:15">
      <c r="A5179">
        <v>6635</v>
      </c>
      <c r="B5179" t="s">
        <v>5542</v>
      </c>
      <c r="C5179" t="str">
        <f>"460006199903020921"</f>
        <v>460006199903020921</v>
      </c>
      <c r="D5179" t="str">
        <f>"248030101707"</f>
        <v>248030101707</v>
      </c>
      <c r="L5179">
        <v>6635</v>
      </c>
      <c r="M5179" t="s">
        <v>5542</v>
      </c>
      <c r="N5179" t="str">
        <f>"248030101707"</f>
        <v>248030101707</v>
      </c>
      <c r="O5179" t="str">
        <f>"460006199903020921"</f>
        <v>460006199903020921</v>
      </c>
    </row>
    <row r="5180" customFormat="1" spans="1:15">
      <c r="A5180">
        <v>6636</v>
      </c>
      <c r="B5180" t="s">
        <v>5543</v>
      </c>
      <c r="C5180" t="str">
        <f>"230306198402194922"</f>
        <v>230306198402194922</v>
      </c>
      <c r="D5180" t="str">
        <f>"248030500902"</f>
        <v>248030500902</v>
      </c>
      <c r="L5180">
        <v>6636</v>
      </c>
      <c r="M5180" t="s">
        <v>5543</v>
      </c>
      <c r="N5180" t="str">
        <f>"248030500902"</f>
        <v>248030500902</v>
      </c>
      <c r="O5180" t="str">
        <f>"230306198402194922"</f>
        <v>230306198402194922</v>
      </c>
    </row>
    <row r="5181" customFormat="1" spans="1:15">
      <c r="A5181">
        <v>6637</v>
      </c>
      <c r="B5181" t="s">
        <v>5544</v>
      </c>
      <c r="C5181" t="str">
        <f>"460004200109130421"</f>
        <v>460004200109130421</v>
      </c>
      <c r="L5181">
        <v>6637</v>
      </c>
      <c r="M5181" t="s">
        <v>5544</v>
      </c>
      <c r="O5181" t="str">
        <f>"460004200109130421"</f>
        <v>460004200109130421</v>
      </c>
    </row>
    <row r="5182" customFormat="1" spans="1:15">
      <c r="A5182">
        <v>6638</v>
      </c>
      <c r="B5182" t="s">
        <v>5545</v>
      </c>
      <c r="C5182" t="str">
        <f>"469005199707132725"</f>
        <v>469005199707132725</v>
      </c>
      <c r="D5182" t="str">
        <f>"248030300201"</f>
        <v>248030300201</v>
      </c>
      <c r="L5182">
        <v>6638</v>
      </c>
      <c r="M5182" t="s">
        <v>5545</v>
      </c>
      <c r="N5182" t="str">
        <f>"248030300201"</f>
        <v>248030300201</v>
      </c>
      <c r="O5182" t="str">
        <f>"469005199707132725"</f>
        <v>469005199707132725</v>
      </c>
    </row>
    <row r="5183" customFormat="1" spans="1:15">
      <c r="A5183">
        <v>6639</v>
      </c>
      <c r="B5183" t="s">
        <v>5546</v>
      </c>
      <c r="C5183" t="str">
        <f>"460004199607023623"</f>
        <v>460004199607023623</v>
      </c>
      <c r="D5183" t="str">
        <f>"248030201005"</f>
        <v>248030201005</v>
      </c>
      <c r="L5183">
        <v>6639</v>
      </c>
      <c r="M5183" t="s">
        <v>5546</v>
      </c>
      <c r="N5183" t="str">
        <f>"248030201005"</f>
        <v>248030201005</v>
      </c>
      <c r="O5183" t="str">
        <f>"460004199607023623"</f>
        <v>460004199607023623</v>
      </c>
    </row>
    <row r="5184" customFormat="1" spans="1:15">
      <c r="A5184">
        <v>6640</v>
      </c>
      <c r="B5184" t="s">
        <v>5547</v>
      </c>
      <c r="C5184" t="str">
        <f>"460005200105300522"</f>
        <v>460005200105300522</v>
      </c>
      <c r="D5184" t="str">
        <f>"248030103723"</f>
        <v>248030103723</v>
      </c>
      <c r="L5184">
        <v>6640</v>
      </c>
      <c r="M5184" t="s">
        <v>5547</v>
      </c>
      <c r="N5184" t="str">
        <f>"248030103723"</f>
        <v>248030103723</v>
      </c>
      <c r="O5184" t="str">
        <f>"460005200105300522"</f>
        <v>460005200105300522</v>
      </c>
    </row>
    <row r="5185" customFormat="1" spans="1:15">
      <c r="A5185">
        <v>6641</v>
      </c>
      <c r="B5185" t="s">
        <v>771</v>
      </c>
      <c r="C5185" t="str">
        <f>"460026199803013623"</f>
        <v>460026199803013623</v>
      </c>
      <c r="D5185" t="str">
        <f>"248030302321"</f>
        <v>248030302321</v>
      </c>
      <c r="L5185">
        <v>6641</v>
      </c>
      <c r="M5185" t="s">
        <v>771</v>
      </c>
      <c r="N5185" t="str">
        <f>"248030302321"</f>
        <v>248030302321</v>
      </c>
      <c r="O5185" t="str">
        <f>"460026199803013623"</f>
        <v>460026199803013623</v>
      </c>
    </row>
    <row r="5186" customFormat="1" spans="1:15">
      <c r="A5186">
        <v>6642</v>
      </c>
      <c r="B5186" t="s">
        <v>5548</v>
      </c>
      <c r="C5186" t="str">
        <f>"460006200011180423"</f>
        <v>460006200011180423</v>
      </c>
      <c r="D5186" t="str">
        <f>"248030203228"</f>
        <v>248030203228</v>
      </c>
      <c r="L5186">
        <v>6642</v>
      </c>
      <c r="M5186" t="s">
        <v>5548</v>
      </c>
      <c r="N5186" t="str">
        <f>"248030203228"</f>
        <v>248030203228</v>
      </c>
      <c r="O5186" t="str">
        <f>"460006200011180423"</f>
        <v>460006200011180423</v>
      </c>
    </row>
    <row r="5187" customFormat="1" spans="1:15">
      <c r="A5187">
        <v>6643</v>
      </c>
      <c r="B5187" t="s">
        <v>5549</v>
      </c>
      <c r="C5187" t="str">
        <f>"460030199607223046"</f>
        <v>460030199607223046</v>
      </c>
      <c r="D5187" t="str">
        <f>"248030202828"</f>
        <v>248030202828</v>
      </c>
      <c r="L5187">
        <v>6643</v>
      </c>
      <c r="M5187" t="s">
        <v>5549</v>
      </c>
      <c r="N5187" t="str">
        <f>"248030202828"</f>
        <v>248030202828</v>
      </c>
      <c r="O5187" t="str">
        <f>"460030199607223046"</f>
        <v>460030199607223046</v>
      </c>
    </row>
    <row r="5188" customFormat="1" spans="1:15">
      <c r="A5188">
        <v>6644</v>
      </c>
      <c r="B5188" t="s">
        <v>5550</v>
      </c>
      <c r="C5188" t="str">
        <f>"460004199210100221"</f>
        <v>460004199210100221</v>
      </c>
      <c r="D5188" t="str">
        <f>"248030502007"</f>
        <v>248030502007</v>
      </c>
      <c r="L5188">
        <v>6644</v>
      </c>
      <c r="M5188" t="s">
        <v>5550</v>
      </c>
      <c r="N5188" t="str">
        <f>"248030502007"</f>
        <v>248030502007</v>
      </c>
      <c r="O5188" t="str">
        <f>"460004199210100221"</f>
        <v>460004199210100221</v>
      </c>
    </row>
    <row r="5189" customFormat="1" spans="1:15">
      <c r="A5189">
        <v>6645</v>
      </c>
      <c r="B5189" t="s">
        <v>5551</v>
      </c>
      <c r="C5189" t="str">
        <f>"469024200301171622"</f>
        <v>469024200301171622</v>
      </c>
      <c r="D5189" t="str">
        <f>"248030300210"</f>
        <v>248030300210</v>
      </c>
      <c r="L5189">
        <v>6645</v>
      </c>
      <c r="M5189" t="s">
        <v>5551</v>
      </c>
      <c r="N5189" t="str">
        <f>"248030300210"</f>
        <v>248030300210</v>
      </c>
      <c r="O5189" t="str">
        <f>"469024200301171622"</f>
        <v>469024200301171622</v>
      </c>
    </row>
    <row r="5190" customFormat="1" spans="1:15">
      <c r="A5190">
        <v>6647</v>
      </c>
      <c r="B5190" t="s">
        <v>5552</v>
      </c>
      <c r="C5190" t="str">
        <f>"460028200006188023"</f>
        <v>460028200006188023</v>
      </c>
      <c r="D5190" t="str">
        <f>"248030401116"</f>
        <v>248030401116</v>
      </c>
      <c r="L5190">
        <v>6647</v>
      </c>
      <c r="M5190" t="s">
        <v>5552</v>
      </c>
      <c r="N5190" t="str">
        <f>"248030401116"</f>
        <v>248030401116</v>
      </c>
      <c r="O5190" t="str">
        <f>"460028200006188023"</f>
        <v>460028200006188023</v>
      </c>
    </row>
    <row r="5191" customFormat="1" spans="1:15">
      <c r="A5191">
        <v>6648</v>
      </c>
      <c r="B5191" t="s">
        <v>5553</v>
      </c>
      <c r="C5191" t="str">
        <f>"460004199511210221"</f>
        <v>460004199511210221</v>
      </c>
      <c r="D5191" t="str">
        <f>"248030500204"</f>
        <v>248030500204</v>
      </c>
      <c r="L5191">
        <v>6648</v>
      </c>
      <c r="M5191" t="s">
        <v>5553</v>
      </c>
      <c r="N5191" t="str">
        <f>"248030500204"</f>
        <v>248030500204</v>
      </c>
      <c r="O5191" t="str">
        <f>"460004199511210221"</f>
        <v>460004199511210221</v>
      </c>
    </row>
    <row r="5192" customFormat="1" spans="1:15">
      <c r="A5192">
        <v>6649</v>
      </c>
      <c r="B5192" t="s">
        <v>5554</v>
      </c>
      <c r="C5192" t="str">
        <f>"46000320000823142X"</f>
        <v>46000320000823142X</v>
      </c>
      <c r="L5192">
        <v>6649</v>
      </c>
      <c r="M5192" t="s">
        <v>5554</v>
      </c>
      <c r="O5192" t="str">
        <f>"46000320000823142X"</f>
        <v>46000320000823142X</v>
      </c>
    </row>
    <row r="5193" customFormat="1" spans="1:15">
      <c r="A5193">
        <v>6651</v>
      </c>
      <c r="B5193" t="s">
        <v>5555</v>
      </c>
      <c r="C5193" t="str">
        <f>"460003200111131822"</f>
        <v>460003200111131822</v>
      </c>
      <c r="D5193" t="str">
        <f>"248030501810"</f>
        <v>248030501810</v>
      </c>
      <c r="L5193">
        <v>6651</v>
      </c>
      <c r="M5193" t="s">
        <v>5555</v>
      </c>
      <c r="N5193" t="str">
        <f>"248030501810"</f>
        <v>248030501810</v>
      </c>
      <c r="O5193" t="str">
        <f>"460003200111131822"</f>
        <v>460003200111131822</v>
      </c>
    </row>
    <row r="5194" customFormat="1" spans="1:15">
      <c r="A5194">
        <v>6653</v>
      </c>
      <c r="B5194" t="s">
        <v>5556</v>
      </c>
      <c r="C5194" t="str">
        <f>"460103200112230019"</f>
        <v>460103200112230019</v>
      </c>
      <c r="D5194" t="str">
        <f>"248030201724"</f>
        <v>248030201724</v>
      </c>
      <c r="L5194">
        <v>6653</v>
      </c>
      <c r="M5194" t="s">
        <v>5556</v>
      </c>
      <c r="N5194" t="str">
        <f>"248030201724"</f>
        <v>248030201724</v>
      </c>
      <c r="O5194" t="str">
        <f>"460103200112230019"</f>
        <v>460103200112230019</v>
      </c>
    </row>
    <row r="5195" customFormat="1" spans="1:15">
      <c r="A5195">
        <v>6654</v>
      </c>
      <c r="B5195" t="s">
        <v>5557</v>
      </c>
      <c r="C5195" t="str">
        <f>"460033199205241478"</f>
        <v>460033199205241478</v>
      </c>
      <c r="D5195" t="str">
        <f>"248030402221"</f>
        <v>248030402221</v>
      </c>
      <c r="L5195">
        <v>6654</v>
      </c>
      <c r="M5195" t="s">
        <v>5557</v>
      </c>
      <c r="N5195" t="str">
        <f>"248030402221"</f>
        <v>248030402221</v>
      </c>
      <c r="O5195" t="str">
        <f>"460033199205241478"</f>
        <v>460033199205241478</v>
      </c>
    </row>
    <row r="5196" customFormat="1" spans="1:15">
      <c r="A5196">
        <v>6655</v>
      </c>
      <c r="B5196" t="s">
        <v>5558</v>
      </c>
      <c r="C5196" t="str">
        <f>"469023199904100629"</f>
        <v>469023199904100629</v>
      </c>
      <c r="D5196" t="str">
        <f>"248030404028"</f>
        <v>248030404028</v>
      </c>
      <c r="L5196">
        <v>6655</v>
      </c>
      <c r="M5196" t="s">
        <v>5558</v>
      </c>
      <c r="N5196" t="str">
        <f>"248030404028"</f>
        <v>248030404028</v>
      </c>
      <c r="O5196" t="str">
        <f>"469023199904100629"</f>
        <v>469023199904100629</v>
      </c>
    </row>
    <row r="5197" customFormat="1" spans="1:15">
      <c r="A5197">
        <v>6656</v>
      </c>
      <c r="B5197" t="s">
        <v>5559</v>
      </c>
      <c r="C5197" t="str">
        <f>"469024199911140422"</f>
        <v>469024199911140422</v>
      </c>
      <c r="D5197" t="str">
        <f>"248030402518"</f>
        <v>248030402518</v>
      </c>
      <c r="L5197">
        <v>6656</v>
      </c>
      <c r="M5197" t="s">
        <v>5559</v>
      </c>
      <c r="N5197" t="str">
        <f>"248030402518"</f>
        <v>248030402518</v>
      </c>
      <c r="O5197" t="str">
        <f>"469024199911140422"</f>
        <v>469024199911140422</v>
      </c>
    </row>
    <row r="5198" customFormat="1" spans="1:15">
      <c r="A5198">
        <v>6657</v>
      </c>
      <c r="B5198" t="s">
        <v>5560</v>
      </c>
      <c r="C5198" t="str">
        <f>"460028199504123622"</f>
        <v>460028199504123622</v>
      </c>
      <c r="D5198" t="str">
        <f>"248030501501"</f>
        <v>248030501501</v>
      </c>
      <c r="L5198">
        <v>6657</v>
      </c>
      <c r="M5198" t="s">
        <v>5560</v>
      </c>
      <c r="N5198" t="str">
        <f>"248030501501"</f>
        <v>248030501501</v>
      </c>
      <c r="O5198" t="str">
        <f>"460028199504123622"</f>
        <v>460028199504123622</v>
      </c>
    </row>
    <row r="5199" customFormat="1" spans="1:15">
      <c r="A5199">
        <v>6658</v>
      </c>
      <c r="B5199" t="s">
        <v>5561</v>
      </c>
      <c r="C5199" t="str">
        <f>"460026199506250622"</f>
        <v>460026199506250622</v>
      </c>
      <c r="D5199" t="str">
        <f>"248030401721"</f>
        <v>248030401721</v>
      </c>
      <c r="L5199">
        <v>6658</v>
      </c>
      <c r="M5199" t="s">
        <v>5561</v>
      </c>
      <c r="N5199" t="str">
        <f>"248030401721"</f>
        <v>248030401721</v>
      </c>
      <c r="O5199" t="str">
        <f>"460026199506250622"</f>
        <v>460026199506250622</v>
      </c>
    </row>
    <row r="5200" customFormat="1" spans="1:15">
      <c r="A5200">
        <v>6659</v>
      </c>
      <c r="B5200" t="s">
        <v>5562</v>
      </c>
      <c r="C5200" t="str">
        <f>"140106199408182561"</f>
        <v>140106199408182561</v>
      </c>
      <c r="D5200" t="str">
        <f>"248030203506"</f>
        <v>248030203506</v>
      </c>
      <c r="L5200">
        <v>6659</v>
      </c>
      <c r="M5200" t="s">
        <v>5562</v>
      </c>
      <c r="N5200" t="str">
        <f>"248030203506"</f>
        <v>248030203506</v>
      </c>
      <c r="O5200" t="str">
        <f>"140106199408182561"</f>
        <v>140106199408182561</v>
      </c>
    </row>
    <row r="5201" customFormat="1" spans="1:15">
      <c r="A5201">
        <v>6660</v>
      </c>
      <c r="B5201" t="s">
        <v>5563</v>
      </c>
      <c r="C5201" t="str">
        <f>"411323200312010027"</f>
        <v>411323200312010027</v>
      </c>
      <c r="D5201" t="str">
        <f>"248030301909"</f>
        <v>248030301909</v>
      </c>
      <c r="L5201">
        <v>6660</v>
      </c>
      <c r="M5201" t="s">
        <v>5563</v>
      </c>
      <c r="N5201" t="str">
        <f>"248030301909"</f>
        <v>248030301909</v>
      </c>
      <c r="O5201" t="str">
        <f>"411323200312010027"</f>
        <v>411323200312010027</v>
      </c>
    </row>
    <row r="5202" customFormat="1" spans="1:15">
      <c r="A5202">
        <v>6661</v>
      </c>
      <c r="B5202" t="s">
        <v>5564</v>
      </c>
      <c r="C5202" t="str">
        <f>"35050519950201602X"</f>
        <v>35050519950201602X</v>
      </c>
      <c r="D5202" t="str">
        <f>"248030503102"</f>
        <v>248030503102</v>
      </c>
      <c r="L5202">
        <v>6661</v>
      </c>
      <c r="M5202" t="s">
        <v>5564</v>
      </c>
      <c r="N5202" t="str">
        <f>"248030503102"</f>
        <v>248030503102</v>
      </c>
      <c r="O5202" t="str">
        <f>"35050519950201602X"</f>
        <v>35050519950201602X</v>
      </c>
    </row>
    <row r="5203" customFormat="1" spans="1:15">
      <c r="A5203">
        <v>6662</v>
      </c>
      <c r="B5203" t="s">
        <v>5565</v>
      </c>
      <c r="C5203" t="str">
        <f>"421127200109105633"</f>
        <v>421127200109105633</v>
      </c>
      <c r="D5203" t="str">
        <f>"248030302202"</f>
        <v>248030302202</v>
      </c>
      <c r="L5203">
        <v>6662</v>
      </c>
      <c r="M5203" t="s">
        <v>5565</v>
      </c>
      <c r="N5203" t="str">
        <f>"248030302202"</f>
        <v>248030302202</v>
      </c>
      <c r="O5203" t="str">
        <f>"421127200109105633"</f>
        <v>421127200109105633</v>
      </c>
    </row>
    <row r="5204" customFormat="1" spans="1:15">
      <c r="A5204">
        <v>6663</v>
      </c>
      <c r="B5204" t="s">
        <v>5566</v>
      </c>
      <c r="C5204" t="str">
        <f>"460032199512027643"</f>
        <v>460032199512027643</v>
      </c>
      <c r="L5204">
        <v>6663</v>
      </c>
      <c r="M5204" t="s">
        <v>5566</v>
      </c>
      <c r="O5204" t="str">
        <f>"460032199512027643"</f>
        <v>460032199512027643</v>
      </c>
    </row>
    <row r="5205" customFormat="1" spans="1:15">
      <c r="A5205">
        <v>6664</v>
      </c>
      <c r="B5205" t="s">
        <v>5567</v>
      </c>
      <c r="C5205" t="str">
        <f>"460007199612080429"</f>
        <v>460007199612080429</v>
      </c>
      <c r="D5205" t="str">
        <f>"248030203623"</f>
        <v>248030203623</v>
      </c>
      <c r="L5205">
        <v>6664</v>
      </c>
      <c r="M5205" t="s">
        <v>5567</v>
      </c>
      <c r="N5205" t="str">
        <f>"248030203623"</f>
        <v>248030203623</v>
      </c>
      <c r="O5205" t="str">
        <f>"460007199612080429"</f>
        <v>460007199612080429</v>
      </c>
    </row>
    <row r="5206" customFormat="1" spans="1:15">
      <c r="A5206">
        <v>6665</v>
      </c>
      <c r="B5206" t="s">
        <v>5568</v>
      </c>
      <c r="C5206" t="str">
        <f>"460031198901080834"</f>
        <v>460031198901080834</v>
      </c>
      <c r="L5206">
        <v>6665</v>
      </c>
      <c r="M5206" t="s">
        <v>5568</v>
      </c>
      <c r="O5206" t="str">
        <f>"460031198901080834"</f>
        <v>460031198901080834</v>
      </c>
    </row>
    <row r="5207" customFormat="1" spans="1:15">
      <c r="A5207">
        <v>6666</v>
      </c>
      <c r="B5207" t="s">
        <v>5569</v>
      </c>
      <c r="C5207" t="str">
        <f>"460026199408030327"</f>
        <v>460026199408030327</v>
      </c>
      <c r="D5207" t="str">
        <f>"248030300720"</f>
        <v>248030300720</v>
      </c>
      <c r="L5207">
        <v>6666</v>
      </c>
      <c r="M5207" t="s">
        <v>5569</v>
      </c>
      <c r="N5207" t="str">
        <f>"248030300720"</f>
        <v>248030300720</v>
      </c>
      <c r="O5207" t="str">
        <f>"460026199408030327"</f>
        <v>460026199408030327</v>
      </c>
    </row>
    <row r="5208" customFormat="1" spans="1:15">
      <c r="A5208">
        <v>6667</v>
      </c>
      <c r="B5208" t="s">
        <v>556</v>
      </c>
      <c r="C5208" t="str">
        <f>"232302200103211725"</f>
        <v>232302200103211725</v>
      </c>
      <c r="D5208" t="str">
        <f>"248030302526"</f>
        <v>248030302526</v>
      </c>
      <c r="L5208">
        <v>6667</v>
      </c>
      <c r="M5208" t="s">
        <v>556</v>
      </c>
      <c r="N5208" t="str">
        <f>"248030302526"</f>
        <v>248030302526</v>
      </c>
      <c r="O5208" t="str">
        <f>"232302200103211725"</f>
        <v>232302200103211725</v>
      </c>
    </row>
    <row r="5209" customFormat="1" spans="1:15">
      <c r="A5209">
        <v>6668</v>
      </c>
      <c r="B5209" t="s">
        <v>5570</v>
      </c>
      <c r="C5209" t="str">
        <f>"460003199706127640"</f>
        <v>460003199706127640</v>
      </c>
      <c r="L5209">
        <v>6668</v>
      </c>
      <c r="M5209" t="s">
        <v>5570</v>
      </c>
      <c r="O5209" t="str">
        <f>"460003199706127640"</f>
        <v>460003199706127640</v>
      </c>
    </row>
    <row r="5210" customFormat="1" spans="1:15">
      <c r="A5210">
        <v>6669</v>
      </c>
      <c r="B5210" t="s">
        <v>5571</v>
      </c>
      <c r="C5210" t="str">
        <f>"460032199501257646"</f>
        <v>460032199501257646</v>
      </c>
      <c r="D5210" t="str">
        <f>"248030300412"</f>
        <v>248030300412</v>
      </c>
      <c r="L5210">
        <v>6669</v>
      </c>
      <c r="M5210" t="s">
        <v>5571</v>
      </c>
      <c r="N5210" t="str">
        <f>"248030300412"</f>
        <v>248030300412</v>
      </c>
      <c r="O5210" t="str">
        <f>"460032199501257646"</f>
        <v>460032199501257646</v>
      </c>
    </row>
    <row r="5211" customFormat="1" spans="1:15">
      <c r="A5211">
        <v>6671</v>
      </c>
      <c r="B5211" t="s">
        <v>5572</v>
      </c>
      <c r="C5211" t="str">
        <f>"460004199211170846"</f>
        <v>460004199211170846</v>
      </c>
      <c r="D5211" t="str">
        <f>"248030400229"</f>
        <v>248030400229</v>
      </c>
      <c r="L5211">
        <v>6671</v>
      </c>
      <c r="M5211" t="s">
        <v>5572</v>
      </c>
      <c r="N5211" t="str">
        <f>"248030400229"</f>
        <v>248030400229</v>
      </c>
      <c r="O5211" t="str">
        <f>"460004199211170846"</f>
        <v>460004199211170846</v>
      </c>
    </row>
    <row r="5212" customFormat="1" spans="1:15">
      <c r="A5212">
        <v>6672</v>
      </c>
      <c r="B5212" t="s">
        <v>5573</v>
      </c>
      <c r="C5212" t="str">
        <f>"460026199701153924"</f>
        <v>460026199701153924</v>
      </c>
      <c r="D5212" t="str">
        <f>"248030100707"</f>
        <v>248030100707</v>
      </c>
      <c r="L5212">
        <v>6672</v>
      </c>
      <c r="M5212" t="s">
        <v>5573</v>
      </c>
      <c r="N5212" t="str">
        <f>"248030100707"</f>
        <v>248030100707</v>
      </c>
      <c r="O5212" t="str">
        <f>"460026199701153924"</f>
        <v>460026199701153924</v>
      </c>
    </row>
    <row r="5213" customFormat="1" spans="1:15">
      <c r="A5213">
        <v>6674</v>
      </c>
      <c r="B5213" t="s">
        <v>5574</v>
      </c>
      <c r="C5213" t="str">
        <f>"469003199308052426"</f>
        <v>469003199308052426</v>
      </c>
      <c r="D5213" t="str">
        <f>"248030500712"</f>
        <v>248030500712</v>
      </c>
      <c r="L5213">
        <v>6674</v>
      </c>
      <c r="M5213" t="s">
        <v>5574</v>
      </c>
      <c r="N5213" t="str">
        <f>"248030500712"</f>
        <v>248030500712</v>
      </c>
      <c r="O5213" t="str">
        <f>"469003199308052426"</f>
        <v>469003199308052426</v>
      </c>
    </row>
    <row r="5214" customFormat="1" spans="1:15">
      <c r="A5214">
        <v>6675</v>
      </c>
      <c r="B5214" t="s">
        <v>5575</v>
      </c>
      <c r="C5214" t="str">
        <f>"460022199702144821"</f>
        <v>460022199702144821</v>
      </c>
      <c r="D5214" t="str">
        <f>"248030100629"</f>
        <v>248030100629</v>
      </c>
      <c r="L5214">
        <v>6675</v>
      </c>
      <c r="M5214" t="s">
        <v>5575</v>
      </c>
      <c r="N5214" t="str">
        <f>"248030100629"</f>
        <v>248030100629</v>
      </c>
      <c r="O5214" t="str">
        <f>"460022199702144821"</f>
        <v>460022199702144821</v>
      </c>
    </row>
    <row r="5215" customFormat="1" spans="1:15">
      <c r="A5215">
        <v>6676</v>
      </c>
      <c r="B5215" t="s">
        <v>5576</v>
      </c>
      <c r="C5215" t="str">
        <f>"460300200110290028"</f>
        <v>460300200110290028</v>
      </c>
      <c r="D5215" t="str">
        <f>"248030302613"</f>
        <v>248030302613</v>
      </c>
      <c r="L5215">
        <v>6676</v>
      </c>
      <c r="M5215" t="s">
        <v>5576</v>
      </c>
      <c r="N5215" t="str">
        <f>"248030302613"</f>
        <v>248030302613</v>
      </c>
      <c r="O5215" t="str">
        <f>"460300200110290028"</f>
        <v>460300200110290028</v>
      </c>
    </row>
    <row r="5216" customFormat="1" spans="1:15">
      <c r="A5216">
        <v>6677</v>
      </c>
      <c r="B5216" t="s">
        <v>5577</v>
      </c>
      <c r="C5216" t="str">
        <f>"460003199902154822"</f>
        <v>460003199902154822</v>
      </c>
      <c r="D5216" t="str">
        <f>"248030102111"</f>
        <v>248030102111</v>
      </c>
      <c r="L5216">
        <v>6677</v>
      </c>
      <c r="M5216" t="s">
        <v>5577</v>
      </c>
      <c r="N5216" t="str">
        <f>"248030102111"</f>
        <v>248030102111</v>
      </c>
      <c r="O5216" t="str">
        <f>"460003199902154822"</f>
        <v>460003199902154822</v>
      </c>
    </row>
    <row r="5217" customFormat="1" spans="1:15">
      <c r="A5217">
        <v>6678</v>
      </c>
      <c r="B5217" t="s">
        <v>5578</v>
      </c>
      <c r="C5217" t="str">
        <f>"460028200107170017"</f>
        <v>460028200107170017</v>
      </c>
      <c r="D5217" t="str">
        <f>"248030103912"</f>
        <v>248030103912</v>
      </c>
      <c r="L5217">
        <v>6678</v>
      </c>
      <c r="M5217" t="s">
        <v>5578</v>
      </c>
      <c r="N5217" t="str">
        <f>"248030103912"</f>
        <v>248030103912</v>
      </c>
      <c r="O5217" t="str">
        <f>"460028200107170017"</f>
        <v>460028200107170017</v>
      </c>
    </row>
    <row r="5218" customFormat="1" spans="1:15">
      <c r="A5218">
        <v>6679</v>
      </c>
      <c r="B5218" t="s">
        <v>5579</v>
      </c>
      <c r="C5218" t="str">
        <f>"460027199411178214"</f>
        <v>460027199411178214</v>
      </c>
      <c r="L5218">
        <v>6679</v>
      </c>
      <c r="M5218" t="s">
        <v>5579</v>
      </c>
      <c r="O5218" t="str">
        <f>"460027199411178214"</f>
        <v>460027199411178214</v>
      </c>
    </row>
    <row r="5219" customFormat="1" spans="1:15">
      <c r="A5219">
        <v>6680</v>
      </c>
      <c r="B5219" t="s">
        <v>5580</v>
      </c>
      <c r="C5219" t="str">
        <f>"152128199210080633"</f>
        <v>152128199210080633</v>
      </c>
      <c r="L5219">
        <v>6680</v>
      </c>
      <c r="M5219" t="s">
        <v>5580</v>
      </c>
      <c r="O5219" t="str">
        <f>"152128199210080633"</f>
        <v>152128199210080633</v>
      </c>
    </row>
    <row r="5220" customFormat="1" spans="1:15">
      <c r="A5220">
        <v>6681</v>
      </c>
      <c r="B5220" t="s">
        <v>5581</v>
      </c>
      <c r="C5220" t="str">
        <f>"460007199209020020"</f>
        <v>460007199209020020</v>
      </c>
      <c r="D5220" t="str">
        <f>"248030402125"</f>
        <v>248030402125</v>
      </c>
      <c r="L5220">
        <v>6681</v>
      </c>
      <c r="M5220" t="s">
        <v>5581</v>
      </c>
      <c r="N5220" t="str">
        <f>"248030402125"</f>
        <v>248030402125</v>
      </c>
      <c r="O5220" t="str">
        <f>"460007199209020020"</f>
        <v>460007199209020020</v>
      </c>
    </row>
    <row r="5221" customFormat="1" spans="1:15">
      <c r="A5221">
        <v>6682</v>
      </c>
      <c r="B5221" t="s">
        <v>3592</v>
      </c>
      <c r="C5221" t="str">
        <f>"460028199910026406"</f>
        <v>460028199910026406</v>
      </c>
      <c r="D5221" t="str">
        <f>"248030401608"</f>
        <v>248030401608</v>
      </c>
      <c r="L5221">
        <v>6682</v>
      </c>
      <c r="M5221" t="s">
        <v>3592</v>
      </c>
      <c r="N5221" t="str">
        <f>"248030401608"</f>
        <v>248030401608</v>
      </c>
      <c r="O5221" t="str">
        <f>"460028199910026406"</f>
        <v>460028199910026406</v>
      </c>
    </row>
    <row r="5222" customFormat="1" spans="1:15">
      <c r="A5222">
        <v>6684</v>
      </c>
      <c r="B5222" t="s">
        <v>5582</v>
      </c>
      <c r="C5222" t="str">
        <f>"530402199203030920"</f>
        <v>530402199203030920</v>
      </c>
      <c r="L5222">
        <v>6684</v>
      </c>
      <c r="M5222" t="s">
        <v>5582</v>
      </c>
      <c r="O5222" t="str">
        <f>"530402199203030920"</f>
        <v>530402199203030920</v>
      </c>
    </row>
    <row r="5223" customFormat="1" spans="1:15">
      <c r="A5223">
        <v>6685</v>
      </c>
      <c r="B5223" t="s">
        <v>5583</v>
      </c>
      <c r="C5223" t="str">
        <f>"360732199903280018"</f>
        <v>360732199903280018</v>
      </c>
      <c r="D5223" t="str">
        <f>"248030201716"</f>
        <v>248030201716</v>
      </c>
      <c r="L5223">
        <v>6685</v>
      </c>
      <c r="M5223" t="s">
        <v>5583</v>
      </c>
      <c r="N5223" t="str">
        <f>"248030201716"</f>
        <v>248030201716</v>
      </c>
      <c r="O5223" t="str">
        <f>"360732199903280018"</f>
        <v>360732199903280018</v>
      </c>
    </row>
    <row r="5224" customFormat="1" spans="1:15">
      <c r="A5224">
        <v>6687</v>
      </c>
      <c r="B5224" t="s">
        <v>5584</v>
      </c>
      <c r="C5224" t="str">
        <f>"460005199702080526"</f>
        <v>460005199702080526</v>
      </c>
      <c r="D5224" t="str">
        <f>"248030202517"</f>
        <v>248030202517</v>
      </c>
      <c r="L5224">
        <v>6687</v>
      </c>
      <c r="M5224" t="s">
        <v>5584</v>
      </c>
      <c r="N5224" t="str">
        <f>"248030202517"</f>
        <v>248030202517</v>
      </c>
      <c r="O5224" t="str">
        <f>"460005199702080526"</f>
        <v>460005199702080526</v>
      </c>
    </row>
    <row r="5225" customFormat="1" spans="1:15">
      <c r="A5225">
        <v>6688</v>
      </c>
      <c r="B5225" t="s">
        <v>5585</v>
      </c>
      <c r="C5225" t="str">
        <f>"460033199907083240"</f>
        <v>460033199907083240</v>
      </c>
      <c r="D5225" t="str">
        <f>"248030101929"</f>
        <v>248030101929</v>
      </c>
      <c r="L5225">
        <v>6688</v>
      </c>
      <c r="M5225" t="s">
        <v>5585</v>
      </c>
      <c r="N5225" t="str">
        <f>"248030101929"</f>
        <v>248030101929</v>
      </c>
      <c r="O5225" t="str">
        <f>"460033199907083240"</f>
        <v>460033199907083240</v>
      </c>
    </row>
    <row r="5226" customFormat="1" spans="1:15">
      <c r="A5226">
        <v>6689</v>
      </c>
      <c r="B5226" t="s">
        <v>4002</v>
      </c>
      <c r="C5226" t="str">
        <f>"460002199401132020"</f>
        <v>460002199401132020</v>
      </c>
      <c r="D5226" t="str">
        <f>"248030502110"</f>
        <v>248030502110</v>
      </c>
      <c r="L5226">
        <v>6689</v>
      </c>
      <c r="M5226" t="s">
        <v>4002</v>
      </c>
      <c r="N5226" t="str">
        <f>"248030502110"</f>
        <v>248030502110</v>
      </c>
      <c r="O5226" t="str">
        <f>"460002199401132020"</f>
        <v>460002199401132020</v>
      </c>
    </row>
    <row r="5227" customFormat="1" spans="1:15">
      <c r="A5227">
        <v>6690</v>
      </c>
      <c r="B5227" t="s">
        <v>5586</v>
      </c>
      <c r="C5227" t="str">
        <f>"460028199107107610"</f>
        <v>460028199107107610</v>
      </c>
      <c r="D5227" t="str">
        <f>"248030302427"</f>
        <v>248030302427</v>
      </c>
      <c r="L5227">
        <v>6690</v>
      </c>
      <c r="M5227" t="s">
        <v>5586</v>
      </c>
      <c r="N5227" t="str">
        <f>"248030302427"</f>
        <v>248030302427</v>
      </c>
      <c r="O5227" t="str">
        <f>"460028199107107610"</f>
        <v>460028199107107610</v>
      </c>
    </row>
    <row r="5228" customFormat="1" spans="1:15">
      <c r="A5228">
        <v>6691</v>
      </c>
      <c r="B5228" t="s">
        <v>5587</v>
      </c>
      <c r="C5228" t="str">
        <f>"460004199607195222"</f>
        <v>460004199607195222</v>
      </c>
      <c r="D5228" t="str">
        <f>"248030102025"</f>
        <v>248030102025</v>
      </c>
      <c r="L5228">
        <v>6691</v>
      </c>
      <c r="M5228" t="s">
        <v>5587</v>
      </c>
      <c r="N5228" t="str">
        <f>"248030102025"</f>
        <v>248030102025</v>
      </c>
      <c r="O5228" t="str">
        <f>"460004199607195222"</f>
        <v>460004199607195222</v>
      </c>
    </row>
    <row r="5229" customFormat="1" spans="1:15">
      <c r="A5229">
        <v>6692</v>
      </c>
      <c r="B5229" t="s">
        <v>5588</v>
      </c>
      <c r="C5229" t="str">
        <f>"460027199302010025"</f>
        <v>460027199302010025</v>
      </c>
      <c r="D5229" t="str">
        <f>"248030301924"</f>
        <v>248030301924</v>
      </c>
      <c r="L5229">
        <v>6692</v>
      </c>
      <c r="M5229" t="s">
        <v>5588</v>
      </c>
      <c r="N5229" t="str">
        <f>"248030301924"</f>
        <v>248030301924</v>
      </c>
      <c r="O5229" t="str">
        <f>"460027199302010025"</f>
        <v>460027199302010025</v>
      </c>
    </row>
    <row r="5230" customFormat="1" spans="1:15">
      <c r="A5230">
        <v>6693</v>
      </c>
      <c r="B5230" t="s">
        <v>5589</v>
      </c>
      <c r="C5230" t="str">
        <f>"460102200204201817"</f>
        <v>460102200204201817</v>
      </c>
      <c r="D5230" t="str">
        <f>"248030300520"</f>
        <v>248030300520</v>
      </c>
      <c r="L5230">
        <v>6693</v>
      </c>
      <c r="M5230" t="s">
        <v>5589</v>
      </c>
      <c r="N5230" t="str">
        <f>"248030300520"</f>
        <v>248030300520</v>
      </c>
      <c r="O5230" t="str">
        <f>"460102200204201817"</f>
        <v>460102200204201817</v>
      </c>
    </row>
    <row r="5231" customFormat="1" spans="1:15">
      <c r="A5231">
        <v>6694</v>
      </c>
      <c r="B5231" t="s">
        <v>5590</v>
      </c>
      <c r="C5231" t="str">
        <f>"460004200212226421"</f>
        <v>460004200212226421</v>
      </c>
      <c r="D5231" t="str">
        <f>"248030101109"</f>
        <v>248030101109</v>
      </c>
      <c r="L5231">
        <v>6694</v>
      </c>
      <c r="M5231" t="s">
        <v>5590</v>
      </c>
      <c r="N5231" t="str">
        <f>"248030101109"</f>
        <v>248030101109</v>
      </c>
      <c r="O5231" t="str">
        <f>"460004200212226421"</f>
        <v>460004200212226421</v>
      </c>
    </row>
    <row r="5232" customFormat="1" spans="1:15">
      <c r="A5232">
        <v>6695</v>
      </c>
      <c r="B5232" t="s">
        <v>5591</v>
      </c>
      <c r="C5232" t="str">
        <f>"460004198510250868"</f>
        <v>460004198510250868</v>
      </c>
      <c r="L5232">
        <v>6695</v>
      </c>
      <c r="M5232" t="s">
        <v>5591</v>
      </c>
      <c r="O5232" t="str">
        <f>"460004198510250868"</f>
        <v>460004198510250868</v>
      </c>
    </row>
    <row r="5233" customFormat="1" spans="1:15">
      <c r="A5233">
        <v>6696</v>
      </c>
      <c r="B5233" t="s">
        <v>5592</v>
      </c>
      <c r="C5233" t="str">
        <f>"460004200011051020"</f>
        <v>460004200011051020</v>
      </c>
      <c r="D5233" t="str">
        <f>"248030501921"</f>
        <v>248030501921</v>
      </c>
      <c r="L5233">
        <v>6696</v>
      </c>
      <c r="M5233" t="s">
        <v>5592</v>
      </c>
      <c r="N5233" t="str">
        <f>"248030501921"</f>
        <v>248030501921</v>
      </c>
      <c r="O5233" t="str">
        <f>"460004200011051020"</f>
        <v>460004200011051020</v>
      </c>
    </row>
    <row r="5234" customFormat="1" spans="1:15">
      <c r="A5234">
        <v>6697</v>
      </c>
      <c r="B5234" t="s">
        <v>5593</v>
      </c>
      <c r="C5234" t="str">
        <f>"469007199206253644"</f>
        <v>469007199206253644</v>
      </c>
      <c r="D5234" t="str">
        <f>"248030501124"</f>
        <v>248030501124</v>
      </c>
      <c r="L5234">
        <v>6697</v>
      </c>
      <c r="M5234" t="s">
        <v>5593</v>
      </c>
      <c r="N5234" t="str">
        <f>"248030501124"</f>
        <v>248030501124</v>
      </c>
      <c r="O5234" t="str">
        <f>"469007199206253644"</f>
        <v>469007199206253644</v>
      </c>
    </row>
    <row r="5235" customFormat="1" spans="1:15">
      <c r="A5235">
        <v>6698</v>
      </c>
      <c r="B5235" t="s">
        <v>5594</v>
      </c>
      <c r="C5235" t="str">
        <f>"46003320001021482X"</f>
        <v>46003320001021482X</v>
      </c>
      <c r="L5235">
        <v>6698</v>
      </c>
      <c r="M5235" t="s">
        <v>5594</v>
      </c>
      <c r="O5235" t="str">
        <f>"46003320001021482X"</f>
        <v>46003320001021482X</v>
      </c>
    </row>
    <row r="5236" customFormat="1" spans="1:15">
      <c r="A5236">
        <v>6700</v>
      </c>
      <c r="B5236" t="s">
        <v>5595</v>
      </c>
      <c r="C5236" t="str">
        <f>"46902420011130122X"</f>
        <v>46902420011130122X</v>
      </c>
      <c r="D5236" t="str">
        <f>"248030100606"</f>
        <v>248030100606</v>
      </c>
      <c r="L5236">
        <v>6700</v>
      </c>
      <c r="M5236" t="s">
        <v>5595</v>
      </c>
      <c r="N5236" t="str">
        <f>"248030100606"</f>
        <v>248030100606</v>
      </c>
      <c r="O5236" t="str">
        <f>"46902420011130122X"</f>
        <v>46902420011130122X</v>
      </c>
    </row>
    <row r="5237" customFormat="1" spans="1:15">
      <c r="A5237">
        <v>6701</v>
      </c>
      <c r="B5237" t="s">
        <v>5596</v>
      </c>
      <c r="C5237" t="str">
        <f>"460027199902010029"</f>
        <v>460027199902010029</v>
      </c>
      <c r="D5237" t="str">
        <f>"248030201606"</f>
        <v>248030201606</v>
      </c>
      <c r="L5237">
        <v>6701</v>
      </c>
      <c r="M5237" t="s">
        <v>5596</v>
      </c>
      <c r="N5237" t="str">
        <f>"248030201606"</f>
        <v>248030201606</v>
      </c>
      <c r="O5237" t="str">
        <f>"460027199902010029"</f>
        <v>460027199902010029</v>
      </c>
    </row>
    <row r="5238" customFormat="1" spans="1:15">
      <c r="A5238">
        <v>6702</v>
      </c>
      <c r="B5238" t="s">
        <v>5597</v>
      </c>
      <c r="C5238" t="str">
        <f>"46002819970309481X"</f>
        <v>46002819970309481X</v>
      </c>
      <c r="D5238" t="str">
        <f>"248030103225"</f>
        <v>248030103225</v>
      </c>
      <c r="L5238">
        <v>6702</v>
      </c>
      <c r="M5238" t="s">
        <v>5597</v>
      </c>
      <c r="N5238" t="str">
        <f>"248030103225"</f>
        <v>248030103225</v>
      </c>
      <c r="O5238" t="str">
        <f>"46002819970309481X"</f>
        <v>46002819970309481X</v>
      </c>
    </row>
    <row r="5239" customFormat="1" spans="1:15">
      <c r="A5239">
        <v>6703</v>
      </c>
      <c r="B5239" t="s">
        <v>5598</v>
      </c>
      <c r="C5239" t="str">
        <f>"460002200206050527"</f>
        <v>460002200206050527</v>
      </c>
      <c r="D5239" t="str">
        <f>"248030200427"</f>
        <v>248030200427</v>
      </c>
      <c r="L5239">
        <v>6703</v>
      </c>
      <c r="M5239" t="s">
        <v>5598</v>
      </c>
      <c r="N5239" t="str">
        <f>"248030200427"</f>
        <v>248030200427</v>
      </c>
      <c r="O5239" t="str">
        <f>"460002200206050527"</f>
        <v>460002200206050527</v>
      </c>
    </row>
    <row r="5240" customFormat="1" spans="1:15">
      <c r="A5240">
        <v>6704</v>
      </c>
      <c r="B5240" t="s">
        <v>5599</v>
      </c>
      <c r="C5240" t="str">
        <f>"210106198903094327"</f>
        <v>210106198903094327</v>
      </c>
      <c r="D5240" t="str">
        <f>"248030103616"</f>
        <v>248030103616</v>
      </c>
      <c r="L5240">
        <v>6704</v>
      </c>
      <c r="M5240" t="s">
        <v>5599</v>
      </c>
      <c r="N5240" t="str">
        <f>"248030103616"</f>
        <v>248030103616</v>
      </c>
      <c r="O5240" t="str">
        <f>"210106198903094327"</f>
        <v>210106198903094327</v>
      </c>
    </row>
    <row r="5241" customFormat="1" spans="1:15">
      <c r="A5241">
        <v>6706</v>
      </c>
      <c r="B5241" t="s">
        <v>5600</v>
      </c>
      <c r="C5241" t="str">
        <f>"460026199510052741"</f>
        <v>460026199510052741</v>
      </c>
      <c r="D5241" t="str">
        <f>"248030402105"</f>
        <v>248030402105</v>
      </c>
      <c r="L5241">
        <v>6706</v>
      </c>
      <c r="M5241" t="s">
        <v>5600</v>
      </c>
      <c r="N5241" t="str">
        <f>"248030402105"</f>
        <v>248030402105</v>
      </c>
      <c r="O5241" t="str">
        <f>"460026199510052741"</f>
        <v>460026199510052741</v>
      </c>
    </row>
    <row r="5242" customFormat="1" spans="1:15">
      <c r="A5242">
        <v>6707</v>
      </c>
      <c r="B5242" t="s">
        <v>5601</v>
      </c>
      <c r="C5242" t="str">
        <f>"460022199512252127"</f>
        <v>460022199512252127</v>
      </c>
      <c r="D5242" t="str">
        <f>"248030401611"</f>
        <v>248030401611</v>
      </c>
      <c r="L5242">
        <v>6707</v>
      </c>
      <c r="M5242" t="s">
        <v>5601</v>
      </c>
      <c r="N5242" t="str">
        <f>"248030401611"</f>
        <v>248030401611</v>
      </c>
      <c r="O5242" t="str">
        <f>"460022199512252127"</f>
        <v>460022199512252127</v>
      </c>
    </row>
    <row r="5243" customFormat="1" spans="1:15">
      <c r="A5243">
        <v>6708</v>
      </c>
      <c r="B5243" t="s">
        <v>5602</v>
      </c>
      <c r="C5243" t="str">
        <f>"411082199507214220"</f>
        <v>411082199507214220</v>
      </c>
      <c r="L5243">
        <v>6708</v>
      </c>
      <c r="M5243" t="s">
        <v>5602</v>
      </c>
      <c r="O5243" t="str">
        <f>"411082199507214220"</f>
        <v>411082199507214220</v>
      </c>
    </row>
    <row r="5244" customFormat="1" spans="1:15">
      <c r="A5244">
        <v>6709</v>
      </c>
      <c r="B5244" t="s">
        <v>5603</v>
      </c>
      <c r="C5244" t="str">
        <f>"469023199807055926"</f>
        <v>469023199807055926</v>
      </c>
      <c r="D5244" t="str">
        <f>"248030203216"</f>
        <v>248030203216</v>
      </c>
      <c r="L5244">
        <v>6709</v>
      </c>
      <c r="M5244" t="s">
        <v>5603</v>
      </c>
      <c r="N5244" t="str">
        <f>"248030203216"</f>
        <v>248030203216</v>
      </c>
      <c r="O5244" t="str">
        <f>"469023199807055926"</f>
        <v>469023199807055926</v>
      </c>
    </row>
    <row r="5245" customFormat="1" spans="1:15">
      <c r="A5245">
        <v>6710</v>
      </c>
      <c r="B5245" t="s">
        <v>5604</v>
      </c>
      <c r="C5245" t="str">
        <f>"469026199803016427"</f>
        <v>469026199803016427</v>
      </c>
      <c r="D5245" t="str">
        <f>"248030103511"</f>
        <v>248030103511</v>
      </c>
      <c r="L5245">
        <v>6710</v>
      </c>
      <c r="M5245" t="s">
        <v>5604</v>
      </c>
      <c r="N5245" t="str">
        <f>"248030103511"</f>
        <v>248030103511</v>
      </c>
      <c r="O5245" t="str">
        <f>"469026199803016427"</f>
        <v>469026199803016427</v>
      </c>
    </row>
    <row r="5246" customFormat="1" spans="1:15">
      <c r="A5246">
        <v>6711</v>
      </c>
      <c r="B5246" t="s">
        <v>5605</v>
      </c>
      <c r="C5246" t="str">
        <f>"460004199908010017"</f>
        <v>460004199908010017</v>
      </c>
      <c r="D5246" t="str">
        <f>"248030403215"</f>
        <v>248030403215</v>
      </c>
      <c r="L5246">
        <v>6711</v>
      </c>
      <c r="M5246" t="s">
        <v>5605</v>
      </c>
      <c r="N5246" t="str">
        <f>"248030403215"</f>
        <v>248030403215</v>
      </c>
      <c r="O5246" t="str">
        <f>"460004199908010017"</f>
        <v>460004199908010017</v>
      </c>
    </row>
    <row r="5247" customFormat="1" spans="1:15">
      <c r="A5247">
        <v>6712</v>
      </c>
      <c r="B5247" t="s">
        <v>5606</v>
      </c>
      <c r="C5247" t="str">
        <f>"460034199911243063"</f>
        <v>460034199911243063</v>
      </c>
      <c r="D5247" t="str">
        <f>"248030502808"</f>
        <v>248030502808</v>
      </c>
      <c r="L5247">
        <v>6712</v>
      </c>
      <c r="M5247" t="s">
        <v>5606</v>
      </c>
      <c r="N5247" t="str">
        <f>"248030502808"</f>
        <v>248030502808</v>
      </c>
      <c r="O5247" t="str">
        <f>"460034199911243063"</f>
        <v>460034199911243063</v>
      </c>
    </row>
    <row r="5248" customFormat="1" spans="1:15">
      <c r="A5248">
        <v>6714</v>
      </c>
      <c r="B5248" t="s">
        <v>5607</v>
      </c>
      <c r="C5248" t="str">
        <f>"460033199711220397"</f>
        <v>460033199711220397</v>
      </c>
      <c r="D5248" t="str">
        <f>"248030201413"</f>
        <v>248030201413</v>
      </c>
      <c r="L5248">
        <v>6714</v>
      </c>
      <c r="M5248" t="s">
        <v>5607</v>
      </c>
      <c r="N5248" t="str">
        <f>"248030201413"</f>
        <v>248030201413</v>
      </c>
      <c r="O5248" t="str">
        <f>"460033199711220397"</f>
        <v>460033199711220397</v>
      </c>
    </row>
    <row r="5249" customFormat="1" spans="1:15">
      <c r="A5249">
        <v>6715</v>
      </c>
      <c r="B5249" t="s">
        <v>5608</v>
      </c>
      <c r="C5249" t="str">
        <f>"500230198803270287"</f>
        <v>500230198803270287</v>
      </c>
      <c r="D5249" t="str">
        <f>"248030403416"</f>
        <v>248030403416</v>
      </c>
      <c r="L5249">
        <v>6715</v>
      </c>
      <c r="M5249" t="s">
        <v>5608</v>
      </c>
      <c r="N5249" t="str">
        <f>"248030403416"</f>
        <v>248030403416</v>
      </c>
      <c r="O5249" t="str">
        <f>"500230198803270287"</f>
        <v>500230198803270287</v>
      </c>
    </row>
    <row r="5250" customFormat="1" spans="1:15">
      <c r="A5250">
        <v>6716</v>
      </c>
      <c r="B5250" t="s">
        <v>5609</v>
      </c>
      <c r="C5250" t="str">
        <f>"460006199611262726"</f>
        <v>460006199611262726</v>
      </c>
      <c r="D5250" t="str">
        <f>"248030103627"</f>
        <v>248030103627</v>
      </c>
      <c r="L5250">
        <v>6716</v>
      </c>
      <c r="M5250" t="s">
        <v>5609</v>
      </c>
      <c r="N5250" t="str">
        <f>"248030103627"</f>
        <v>248030103627</v>
      </c>
      <c r="O5250" t="str">
        <f>"460006199611262726"</f>
        <v>460006199611262726</v>
      </c>
    </row>
    <row r="5251" customFormat="1" spans="1:15">
      <c r="A5251">
        <v>6717</v>
      </c>
      <c r="B5251" t="s">
        <v>5610</v>
      </c>
      <c r="C5251" t="str">
        <f>"460006200202165226"</f>
        <v>460006200202165226</v>
      </c>
      <c r="D5251" t="str">
        <f>"248030401530"</f>
        <v>248030401530</v>
      </c>
      <c r="L5251">
        <v>6717</v>
      </c>
      <c r="M5251" t="s">
        <v>5610</v>
      </c>
      <c r="N5251" t="str">
        <f>"248030401530"</f>
        <v>248030401530</v>
      </c>
      <c r="O5251" t="str">
        <f>"460006200202165226"</f>
        <v>460006200202165226</v>
      </c>
    </row>
    <row r="5252" customFormat="1" spans="1:15">
      <c r="A5252">
        <v>6718</v>
      </c>
      <c r="B5252" t="s">
        <v>4171</v>
      </c>
      <c r="C5252" t="str">
        <f>"460006199101294429"</f>
        <v>460006199101294429</v>
      </c>
      <c r="D5252" t="str">
        <f>"248030502516"</f>
        <v>248030502516</v>
      </c>
      <c r="L5252">
        <v>6718</v>
      </c>
      <c r="M5252" t="s">
        <v>4171</v>
      </c>
      <c r="N5252" t="str">
        <f>"248030502516"</f>
        <v>248030502516</v>
      </c>
      <c r="O5252" t="str">
        <f>"460006199101294429"</f>
        <v>460006199101294429</v>
      </c>
    </row>
    <row r="5253" customFormat="1" spans="1:15">
      <c r="A5253">
        <v>6719</v>
      </c>
      <c r="B5253" t="s">
        <v>5611</v>
      </c>
      <c r="C5253" t="str">
        <f>"460003199604282228"</f>
        <v>460003199604282228</v>
      </c>
      <c r="D5253" t="str">
        <f>"248030501607"</f>
        <v>248030501607</v>
      </c>
      <c r="L5253">
        <v>6719</v>
      </c>
      <c r="M5253" t="s">
        <v>5611</v>
      </c>
      <c r="N5253" t="str">
        <f>"248030501607"</f>
        <v>248030501607</v>
      </c>
      <c r="O5253" t="str">
        <f>"460003199604282228"</f>
        <v>460003199604282228</v>
      </c>
    </row>
    <row r="5254" customFormat="1" spans="1:15">
      <c r="A5254">
        <v>6723</v>
      </c>
      <c r="B5254" t="s">
        <v>5612</v>
      </c>
      <c r="C5254" t="str">
        <f>"610627199711070257"</f>
        <v>610627199711070257</v>
      </c>
      <c r="D5254" t="str">
        <f>"248030104919"</f>
        <v>248030104919</v>
      </c>
      <c r="L5254">
        <v>6723</v>
      </c>
      <c r="M5254" t="s">
        <v>5612</v>
      </c>
      <c r="N5254" t="str">
        <f>"248030104919"</f>
        <v>248030104919</v>
      </c>
      <c r="O5254" t="str">
        <f>"610627199711070257"</f>
        <v>610627199711070257</v>
      </c>
    </row>
    <row r="5255" customFormat="1" spans="1:15">
      <c r="A5255">
        <v>6724</v>
      </c>
      <c r="B5255" t="s">
        <v>2918</v>
      </c>
      <c r="C5255" t="str">
        <f>"460003199812181448"</f>
        <v>460003199812181448</v>
      </c>
      <c r="D5255" t="str">
        <f>"248030102423"</f>
        <v>248030102423</v>
      </c>
      <c r="L5255">
        <v>6724</v>
      </c>
      <c r="M5255" t="s">
        <v>2918</v>
      </c>
      <c r="N5255" t="str">
        <f>"248030102423"</f>
        <v>248030102423</v>
      </c>
      <c r="O5255" t="str">
        <f>"460003199812181448"</f>
        <v>460003199812181448</v>
      </c>
    </row>
    <row r="5256" customFormat="1" spans="1:15">
      <c r="A5256">
        <v>6725</v>
      </c>
      <c r="B5256" t="s">
        <v>5613</v>
      </c>
      <c r="C5256" t="str">
        <f>"460003199503060829"</f>
        <v>460003199503060829</v>
      </c>
      <c r="D5256" t="str">
        <f>"248030300922"</f>
        <v>248030300922</v>
      </c>
      <c r="L5256">
        <v>6725</v>
      </c>
      <c r="M5256" t="s">
        <v>5613</v>
      </c>
      <c r="N5256" t="str">
        <f>"248030300922"</f>
        <v>248030300922</v>
      </c>
      <c r="O5256" t="str">
        <f>"460003199503060829"</f>
        <v>460003199503060829</v>
      </c>
    </row>
    <row r="5257" customFormat="1" spans="1:15">
      <c r="A5257">
        <v>6726</v>
      </c>
      <c r="B5257" t="s">
        <v>5614</v>
      </c>
      <c r="C5257" t="str">
        <f>"422201199901242225"</f>
        <v>422201199901242225</v>
      </c>
      <c r="D5257" t="str">
        <f>"248030400914"</f>
        <v>248030400914</v>
      </c>
      <c r="L5257">
        <v>6726</v>
      </c>
      <c r="M5257" t="s">
        <v>5614</v>
      </c>
      <c r="N5257" t="str">
        <f>"248030400914"</f>
        <v>248030400914</v>
      </c>
      <c r="O5257" t="str">
        <f>"422201199901242225"</f>
        <v>422201199901242225</v>
      </c>
    </row>
    <row r="5258" customFormat="1" spans="1:15">
      <c r="A5258">
        <v>6727</v>
      </c>
      <c r="B5258" t="s">
        <v>5615</v>
      </c>
      <c r="C5258" t="str">
        <f>"460021199108174423"</f>
        <v>460021199108174423</v>
      </c>
      <c r="D5258" t="str">
        <f>"248030402510"</f>
        <v>248030402510</v>
      </c>
      <c r="L5258">
        <v>6727</v>
      </c>
      <c r="M5258" t="s">
        <v>5615</v>
      </c>
      <c r="N5258" t="str">
        <f>"248030402510"</f>
        <v>248030402510</v>
      </c>
      <c r="O5258" t="str">
        <f>"460021199108174423"</f>
        <v>460021199108174423</v>
      </c>
    </row>
    <row r="5259" customFormat="1" spans="1:15">
      <c r="A5259">
        <v>6729</v>
      </c>
      <c r="B5259" t="s">
        <v>5616</v>
      </c>
      <c r="C5259" t="str">
        <f>"460103199602121223"</f>
        <v>460103199602121223</v>
      </c>
      <c r="D5259" t="str">
        <f>"248030502213"</f>
        <v>248030502213</v>
      </c>
      <c r="L5259">
        <v>6729</v>
      </c>
      <c r="M5259" t="s">
        <v>5616</v>
      </c>
      <c r="N5259" t="str">
        <f>"248030502213"</f>
        <v>248030502213</v>
      </c>
      <c r="O5259" t="str">
        <f>"460103199602121223"</f>
        <v>460103199602121223</v>
      </c>
    </row>
    <row r="5260" customFormat="1" spans="1:15">
      <c r="A5260">
        <v>6730</v>
      </c>
      <c r="B5260" t="s">
        <v>3189</v>
      </c>
      <c r="C5260" t="str">
        <f>"220182199110226222"</f>
        <v>220182199110226222</v>
      </c>
      <c r="D5260" t="str">
        <f>"248030200129"</f>
        <v>248030200129</v>
      </c>
      <c r="L5260">
        <v>6730</v>
      </c>
      <c r="M5260" t="s">
        <v>3189</v>
      </c>
      <c r="N5260" t="str">
        <f>"248030200129"</f>
        <v>248030200129</v>
      </c>
      <c r="O5260" t="str">
        <f>"220182199110226222"</f>
        <v>220182199110226222</v>
      </c>
    </row>
    <row r="5261" customFormat="1" spans="1:15">
      <c r="A5261">
        <v>6731</v>
      </c>
      <c r="B5261" t="s">
        <v>242</v>
      </c>
      <c r="C5261" t="str">
        <f>"460027199704302661"</f>
        <v>460027199704302661</v>
      </c>
      <c r="D5261" t="str">
        <f>"248030102416"</f>
        <v>248030102416</v>
      </c>
      <c r="L5261">
        <v>6731</v>
      </c>
      <c r="M5261" t="s">
        <v>242</v>
      </c>
      <c r="N5261" t="str">
        <f>"248030102416"</f>
        <v>248030102416</v>
      </c>
      <c r="O5261" t="str">
        <f>"460027199704302661"</f>
        <v>460027199704302661</v>
      </c>
    </row>
    <row r="5262" customFormat="1" spans="1:15">
      <c r="A5262">
        <v>6732</v>
      </c>
      <c r="B5262" t="s">
        <v>5617</v>
      </c>
      <c r="C5262" t="str">
        <f>"460102199004030923"</f>
        <v>460102199004030923</v>
      </c>
      <c r="L5262">
        <v>6732</v>
      </c>
      <c r="M5262" t="s">
        <v>5617</v>
      </c>
      <c r="O5262" t="str">
        <f>"460102199004030923"</f>
        <v>460102199004030923</v>
      </c>
    </row>
    <row r="5263" customFormat="1" spans="1:15">
      <c r="A5263">
        <v>6733</v>
      </c>
      <c r="B5263" t="s">
        <v>5618</v>
      </c>
      <c r="C5263" t="str">
        <f>"460006200207092927"</f>
        <v>460006200207092927</v>
      </c>
      <c r="D5263" t="str">
        <f>"248030301502"</f>
        <v>248030301502</v>
      </c>
      <c r="L5263">
        <v>6733</v>
      </c>
      <c r="M5263" t="s">
        <v>5618</v>
      </c>
      <c r="N5263" t="str">
        <f>"248030301502"</f>
        <v>248030301502</v>
      </c>
      <c r="O5263" t="str">
        <f>"460006200207092927"</f>
        <v>460006200207092927</v>
      </c>
    </row>
    <row r="5264" customFormat="1" spans="1:15">
      <c r="A5264">
        <v>6734</v>
      </c>
      <c r="B5264" t="s">
        <v>3246</v>
      </c>
      <c r="C5264" t="str">
        <f>"460028200007070828"</f>
        <v>460028200007070828</v>
      </c>
      <c r="D5264" t="str">
        <f>"248030102917"</f>
        <v>248030102917</v>
      </c>
      <c r="L5264">
        <v>6734</v>
      </c>
      <c r="M5264" t="s">
        <v>3246</v>
      </c>
      <c r="N5264" t="str">
        <f>"248030102917"</f>
        <v>248030102917</v>
      </c>
      <c r="O5264" t="str">
        <f>"460028200007070828"</f>
        <v>460028200007070828</v>
      </c>
    </row>
    <row r="5265" customFormat="1" spans="1:15">
      <c r="A5265">
        <v>6735</v>
      </c>
      <c r="B5265" t="s">
        <v>5619</v>
      </c>
      <c r="C5265" t="str">
        <f>"460002199909123619"</f>
        <v>460002199909123619</v>
      </c>
      <c r="D5265" t="str">
        <f>"248030203104"</f>
        <v>248030203104</v>
      </c>
      <c r="L5265">
        <v>6735</v>
      </c>
      <c r="M5265" t="s">
        <v>5619</v>
      </c>
      <c r="N5265" t="str">
        <f>"248030203104"</f>
        <v>248030203104</v>
      </c>
      <c r="O5265" t="str">
        <f>"460002199909123619"</f>
        <v>460002199909123619</v>
      </c>
    </row>
    <row r="5266" customFormat="1" spans="1:15">
      <c r="A5266">
        <v>6736</v>
      </c>
      <c r="B5266" t="s">
        <v>5620</v>
      </c>
      <c r="C5266" t="str">
        <f>"460102200010181221"</f>
        <v>460102200010181221</v>
      </c>
      <c r="D5266" t="str">
        <f>"248030201216"</f>
        <v>248030201216</v>
      </c>
      <c r="L5266">
        <v>6736</v>
      </c>
      <c r="M5266" t="s">
        <v>5620</v>
      </c>
      <c r="N5266" t="str">
        <f>"248030201216"</f>
        <v>248030201216</v>
      </c>
      <c r="O5266" t="str">
        <f>"460102200010181221"</f>
        <v>460102200010181221</v>
      </c>
    </row>
    <row r="5267" customFormat="1" spans="1:15">
      <c r="A5267">
        <v>6737</v>
      </c>
      <c r="B5267" t="s">
        <v>5621</v>
      </c>
      <c r="C5267" t="str">
        <f>"142429199811060049"</f>
        <v>142429199811060049</v>
      </c>
      <c r="D5267" t="str">
        <f>"248030203502"</f>
        <v>248030203502</v>
      </c>
      <c r="L5267">
        <v>6737</v>
      </c>
      <c r="M5267" t="s">
        <v>5621</v>
      </c>
      <c r="N5267" t="str">
        <f>"248030203502"</f>
        <v>248030203502</v>
      </c>
      <c r="O5267" t="str">
        <f>"142429199811060049"</f>
        <v>142429199811060049</v>
      </c>
    </row>
    <row r="5268" customFormat="1" spans="1:15">
      <c r="A5268">
        <v>6738</v>
      </c>
      <c r="B5268" t="s">
        <v>5622</v>
      </c>
      <c r="C5268" t="str">
        <f>"460033199406173889"</f>
        <v>460033199406173889</v>
      </c>
      <c r="D5268" t="str">
        <f>"248030402222"</f>
        <v>248030402222</v>
      </c>
      <c r="L5268">
        <v>6738</v>
      </c>
      <c r="M5268" t="s">
        <v>5622</v>
      </c>
      <c r="N5268" t="str">
        <f>"248030402222"</f>
        <v>248030402222</v>
      </c>
      <c r="O5268" t="str">
        <f>"460033199406173889"</f>
        <v>460033199406173889</v>
      </c>
    </row>
    <row r="5269" customFormat="1" spans="1:15">
      <c r="A5269">
        <v>6740</v>
      </c>
      <c r="B5269" t="s">
        <v>201</v>
      </c>
      <c r="C5269" t="str">
        <f>"46900519950708102X"</f>
        <v>46900519950708102X</v>
      </c>
      <c r="D5269" t="str">
        <f>"248030100627"</f>
        <v>248030100627</v>
      </c>
      <c r="L5269">
        <v>6740</v>
      </c>
      <c r="M5269" t="s">
        <v>201</v>
      </c>
      <c r="N5269" t="str">
        <f>"248030100627"</f>
        <v>248030100627</v>
      </c>
      <c r="O5269" t="str">
        <f>"46900519950708102X"</f>
        <v>46900519950708102X</v>
      </c>
    </row>
    <row r="5270" customFormat="1" spans="1:15">
      <c r="A5270">
        <v>6742</v>
      </c>
      <c r="B5270" t="s">
        <v>5623</v>
      </c>
      <c r="C5270" t="str">
        <f>"460030199212171827"</f>
        <v>460030199212171827</v>
      </c>
      <c r="D5270" t="str">
        <f>"248030302801"</f>
        <v>248030302801</v>
      </c>
      <c r="L5270">
        <v>6742</v>
      </c>
      <c r="M5270" t="s">
        <v>5623</v>
      </c>
      <c r="N5270" t="str">
        <f>"248030302801"</f>
        <v>248030302801</v>
      </c>
      <c r="O5270" t="str">
        <f>"460030199212171827"</f>
        <v>460030199212171827</v>
      </c>
    </row>
    <row r="5271" customFormat="1" spans="1:15">
      <c r="A5271">
        <v>6743</v>
      </c>
      <c r="B5271" t="s">
        <v>5624</v>
      </c>
      <c r="C5271" t="str">
        <f>"460006199604148124"</f>
        <v>460006199604148124</v>
      </c>
      <c r="D5271" t="str">
        <f>"248030101015"</f>
        <v>248030101015</v>
      </c>
      <c r="L5271">
        <v>6743</v>
      </c>
      <c r="M5271" t="s">
        <v>5624</v>
      </c>
      <c r="N5271" t="str">
        <f>"248030101015"</f>
        <v>248030101015</v>
      </c>
      <c r="O5271" t="str">
        <f>"460006199604148124"</f>
        <v>460006199604148124</v>
      </c>
    </row>
    <row r="5272" customFormat="1" spans="1:15">
      <c r="A5272">
        <v>6744</v>
      </c>
      <c r="B5272" t="s">
        <v>5625</v>
      </c>
      <c r="C5272" t="str">
        <f>"460102199304153327"</f>
        <v>460102199304153327</v>
      </c>
      <c r="D5272" t="str">
        <f>"248030502018"</f>
        <v>248030502018</v>
      </c>
      <c r="L5272">
        <v>6744</v>
      </c>
      <c r="M5272" t="s">
        <v>5625</v>
      </c>
      <c r="N5272" t="str">
        <f>"248030502018"</f>
        <v>248030502018</v>
      </c>
      <c r="O5272" t="str">
        <f>"460102199304153327"</f>
        <v>460102199304153327</v>
      </c>
    </row>
    <row r="5273" customFormat="1" spans="1:15">
      <c r="A5273">
        <v>6745</v>
      </c>
      <c r="B5273" t="s">
        <v>5626</v>
      </c>
      <c r="C5273" t="str">
        <f>"46003319981227452X"</f>
        <v>46003319981227452X</v>
      </c>
      <c r="D5273" t="str">
        <f>"248030404104"</f>
        <v>248030404104</v>
      </c>
      <c r="L5273">
        <v>6745</v>
      </c>
      <c r="M5273" t="s">
        <v>5626</v>
      </c>
      <c r="N5273" t="str">
        <f>"248030404104"</f>
        <v>248030404104</v>
      </c>
      <c r="O5273" t="str">
        <f>"46003319981227452X"</f>
        <v>46003319981227452X</v>
      </c>
    </row>
    <row r="5274" customFormat="1" spans="1:15">
      <c r="A5274">
        <v>6747</v>
      </c>
      <c r="B5274" t="s">
        <v>5627</v>
      </c>
      <c r="C5274" t="str">
        <f>"469024200010044420"</f>
        <v>469024200010044420</v>
      </c>
      <c r="D5274" t="str">
        <f>"248030300514"</f>
        <v>248030300514</v>
      </c>
      <c r="L5274">
        <v>6747</v>
      </c>
      <c r="M5274" t="s">
        <v>5627</v>
      </c>
      <c r="N5274" t="str">
        <f>"248030300514"</f>
        <v>248030300514</v>
      </c>
      <c r="O5274" t="str">
        <f>"469024200010044420"</f>
        <v>469024200010044420</v>
      </c>
    </row>
    <row r="5275" customFormat="1" spans="1:15">
      <c r="A5275">
        <v>6748</v>
      </c>
      <c r="B5275" t="s">
        <v>5628</v>
      </c>
      <c r="C5275" t="str">
        <f>"46000320000520782X"</f>
        <v>46000320000520782X</v>
      </c>
      <c r="D5275" t="str">
        <f>"248030500705"</f>
        <v>248030500705</v>
      </c>
      <c r="L5275">
        <v>6748</v>
      </c>
      <c r="M5275" t="s">
        <v>5628</v>
      </c>
      <c r="N5275" t="str">
        <f>"248030500705"</f>
        <v>248030500705</v>
      </c>
      <c r="O5275" t="str">
        <f>"46000320000520782X"</f>
        <v>46000320000520782X</v>
      </c>
    </row>
    <row r="5276" customFormat="1" spans="1:15">
      <c r="A5276">
        <v>6749</v>
      </c>
      <c r="B5276" t="s">
        <v>5629</v>
      </c>
      <c r="C5276" t="str">
        <f>"460003199102132027"</f>
        <v>460003199102132027</v>
      </c>
      <c r="D5276" t="str">
        <f>"248030403326"</f>
        <v>248030403326</v>
      </c>
      <c r="L5276">
        <v>6749</v>
      </c>
      <c r="M5276" t="s">
        <v>5629</v>
      </c>
      <c r="N5276" t="str">
        <f>"248030403326"</f>
        <v>248030403326</v>
      </c>
      <c r="O5276" t="str">
        <f>"460003199102132027"</f>
        <v>460003199102132027</v>
      </c>
    </row>
    <row r="5277" customFormat="1" spans="1:15">
      <c r="A5277">
        <v>6750</v>
      </c>
      <c r="B5277" t="s">
        <v>5630</v>
      </c>
      <c r="C5277" t="str">
        <f>"469022199707230313"</f>
        <v>469022199707230313</v>
      </c>
      <c r="D5277" t="str">
        <f>"248030200810"</f>
        <v>248030200810</v>
      </c>
      <c r="L5277">
        <v>6750</v>
      </c>
      <c r="M5277" t="s">
        <v>5630</v>
      </c>
      <c r="N5277" t="str">
        <f>"248030200810"</f>
        <v>248030200810</v>
      </c>
      <c r="O5277" t="str">
        <f>"469022199707230313"</f>
        <v>469022199707230313</v>
      </c>
    </row>
    <row r="5278" customFormat="1" spans="1:15">
      <c r="A5278">
        <v>6752</v>
      </c>
      <c r="B5278" t="s">
        <v>5631</v>
      </c>
      <c r="C5278" t="str">
        <f>"460102199108310946"</f>
        <v>460102199108310946</v>
      </c>
      <c r="D5278" t="str">
        <f>"248030501924"</f>
        <v>248030501924</v>
      </c>
      <c r="L5278">
        <v>6752</v>
      </c>
      <c r="M5278" t="s">
        <v>5631</v>
      </c>
      <c r="N5278" t="str">
        <f>"248030501924"</f>
        <v>248030501924</v>
      </c>
      <c r="O5278" t="str">
        <f>"460102199108310946"</f>
        <v>460102199108310946</v>
      </c>
    </row>
    <row r="5279" customFormat="1" spans="1:15">
      <c r="A5279">
        <v>6753</v>
      </c>
      <c r="B5279" t="s">
        <v>5632</v>
      </c>
      <c r="C5279" t="str">
        <f>"460006199308086221"</f>
        <v>460006199308086221</v>
      </c>
      <c r="D5279" t="str">
        <f>"248030400115"</f>
        <v>248030400115</v>
      </c>
      <c r="L5279">
        <v>6753</v>
      </c>
      <c r="M5279" t="s">
        <v>5632</v>
      </c>
      <c r="N5279" t="str">
        <f>"248030400115"</f>
        <v>248030400115</v>
      </c>
      <c r="O5279" t="str">
        <f>"460006199308086221"</f>
        <v>460006199308086221</v>
      </c>
    </row>
    <row r="5280" customFormat="1" spans="1:15">
      <c r="A5280">
        <v>6754</v>
      </c>
      <c r="B5280" t="s">
        <v>5633</v>
      </c>
      <c r="C5280" t="str">
        <f>"460003200008205635"</f>
        <v>460003200008205635</v>
      </c>
      <c r="D5280" t="str">
        <f>"248030302614"</f>
        <v>248030302614</v>
      </c>
      <c r="L5280">
        <v>6754</v>
      </c>
      <c r="M5280" t="s">
        <v>5633</v>
      </c>
      <c r="N5280" t="str">
        <f>"248030302614"</f>
        <v>248030302614</v>
      </c>
      <c r="O5280" t="str">
        <f>"460003200008205635"</f>
        <v>460003200008205635</v>
      </c>
    </row>
    <row r="5281" customFormat="1" spans="1:15">
      <c r="A5281">
        <v>6755</v>
      </c>
      <c r="B5281" t="s">
        <v>5634</v>
      </c>
      <c r="C5281" t="str">
        <f>"360782199708162730"</f>
        <v>360782199708162730</v>
      </c>
      <c r="D5281" t="str">
        <f>"248030201824"</f>
        <v>248030201824</v>
      </c>
      <c r="L5281">
        <v>6755</v>
      </c>
      <c r="M5281" t="s">
        <v>5634</v>
      </c>
      <c r="N5281" t="str">
        <f>"248030201824"</f>
        <v>248030201824</v>
      </c>
      <c r="O5281" t="str">
        <f>"360782199708162730"</f>
        <v>360782199708162730</v>
      </c>
    </row>
    <row r="5282" customFormat="1" spans="1:15">
      <c r="A5282">
        <v>6756</v>
      </c>
      <c r="B5282" t="s">
        <v>5635</v>
      </c>
      <c r="C5282" t="str">
        <f>"460006199906102922"</f>
        <v>460006199906102922</v>
      </c>
      <c r="D5282" t="str">
        <f>"248030500504"</f>
        <v>248030500504</v>
      </c>
      <c r="L5282">
        <v>6756</v>
      </c>
      <c r="M5282" t="s">
        <v>5635</v>
      </c>
      <c r="N5282" t="str">
        <f>"248030500504"</f>
        <v>248030500504</v>
      </c>
      <c r="O5282" t="str">
        <f>"460006199906102922"</f>
        <v>460006199906102922</v>
      </c>
    </row>
    <row r="5283" customFormat="1" spans="1:15">
      <c r="A5283">
        <v>6757</v>
      </c>
      <c r="B5283" t="s">
        <v>294</v>
      </c>
      <c r="C5283" t="str">
        <f>"460102198701261212"</f>
        <v>460102198701261212</v>
      </c>
      <c r="D5283" t="str">
        <f>"248030300930"</f>
        <v>248030300930</v>
      </c>
      <c r="L5283">
        <v>6757</v>
      </c>
      <c r="M5283" t="s">
        <v>294</v>
      </c>
      <c r="N5283" t="str">
        <f>"248030300930"</f>
        <v>248030300930</v>
      </c>
      <c r="O5283" t="str">
        <f>"460102198701261212"</f>
        <v>460102198701261212</v>
      </c>
    </row>
    <row r="5284" customFormat="1" spans="1:15">
      <c r="A5284">
        <v>6760</v>
      </c>
      <c r="B5284" t="s">
        <v>5636</v>
      </c>
      <c r="C5284" t="str">
        <f>"460004199410103427"</f>
        <v>460004199410103427</v>
      </c>
      <c r="D5284" t="str">
        <f>"248030300121"</f>
        <v>248030300121</v>
      </c>
      <c r="L5284">
        <v>6760</v>
      </c>
      <c r="M5284" t="s">
        <v>5636</v>
      </c>
      <c r="N5284" t="str">
        <f>"248030300121"</f>
        <v>248030300121</v>
      </c>
      <c r="O5284" t="str">
        <f>"460004199410103427"</f>
        <v>460004199410103427</v>
      </c>
    </row>
    <row r="5285" customFormat="1" spans="1:15">
      <c r="A5285">
        <v>6763</v>
      </c>
      <c r="B5285" t="s">
        <v>5637</v>
      </c>
      <c r="C5285" t="str">
        <f>"460027199512046210"</f>
        <v>460027199512046210</v>
      </c>
      <c r="D5285" t="str">
        <f>"248030201317"</f>
        <v>248030201317</v>
      </c>
      <c r="L5285">
        <v>6763</v>
      </c>
      <c r="M5285" t="s">
        <v>5637</v>
      </c>
      <c r="N5285" t="str">
        <f>"248030201317"</f>
        <v>248030201317</v>
      </c>
      <c r="O5285" t="str">
        <f>"460027199512046210"</f>
        <v>460027199512046210</v>
      </c>
    </row>
    <row r="5286" customFormat="1" spans="1:15">
      <c r="A5286">
        <v>6765</v>
      </c>
      <c r="B5286" t="s">
        <v>5638</v>
      </c>
      <c r="C5286" t="str">
        <f>"460007199706230029"</f>
        <v>460007199706230029</v>
      </c>
      <c r="D5286" t="str">
        <f>"248030101901"</f>
        <v>248030101901</v>
      </c>
      <c r="L5286">
        <v>6765</v>
      </c>
      <c r="M5286" t="s">
        <v>5638</v>
      </c>
      <c r="N5286" t="str">
        <f>"248030101901"</f>
        <v>248030101901</v>
      </c>
      <c r="O5286" t="str">
        <f>"460007199706230029"</f>
        <v>460007199706230029</v>
      </c>
    </row>
    <row r="5287" customFormat="1" spans="1:15">
      <c r="A5287">
        <v>6766</v>
      </c>
      <c r="B5287" t="s">
        <v>5639</v>
      </c>
      <c r="C5287" t="str">
        <f>"460025199112100625"</f>
        <v>460025199112100625</v>
      </c>
      <c r="D5287" t="str">
        <f>"248030104417"</f>
        <v>248030104417</v>
      </c>
      <c r="L5287">
        <v>6766</v>
      </c>
      <c r="M5287" t="s">
        <v>5639</v>
      </c>
      <c r="N5287" t="str">
        <f>"248030104417"</f>
        <v>248030104417</v>
      </c>
      <c r="O5287" t="str">
        <f>"460025199112100625"</f>
        <v>460025199112100625</v>
      </c>
    </row>
    <row r="5288" customFormat="1" spans="1:15">
      <c r="A5288">
        <v>6767</v>
      </c>
      <c r="B5288" t="s">
        <v>5640</v>
      </c>
      <c r="C5288" t="str">
        <f>"460034200110163341"</f>
        <v>460034200110163341</v>
      </c>
      <c r="D5288" t="str">
        <f>"248030403025"</f>
        <v>248030403025</v>
      </c>
      <c r="L5288">
        <v>6767</v>
      </c>
      <c r="M5288" t="s">
        <v>5640</v>
      </c>
      <c r="N5288" t="str">
        <f>"248030403025"</f>
        <v>248030403025</v>
      </c>
      <c r="O5288" t="str">
        <f>"460034200110163341"</f>
        <v>460034200110163341</v>
      </c>
    </row>
    <row r="5289" customFormat="1" spans="1:15">
      <c r="A5289">
        <v>6768</v>
      </c>
      <c r="B5289" t="s">
        <v>5641</v>
      </c>
      <c r="C5289" t="str">
        <f>"460103199011062129"</f>
        <v>460103199011062129</v>
      </c>
      <c r="D5289" t="str">
        <f>"248030101426"</f>
        <v>248030101426</v>
      </c>
      <c r="L5289">
        <v>6768</v>
      </c>
      <c r="M5289" t="s">
        <v>5641</v>
      </c>
      <c r="N5289" t="str">
        <f>"248030101426"</f>
        <v>248030101426</v>
      </c>
      <c r="O5289" t="str">
        <f>"460103199011062129"</f>
        <v>460103199011062129</v>
      </c>
    </row>
    <row r="5290" customFormat="1" spans="1:15">
      <c r="A5290">
        <v>6769</v>
      </c>
      <c r="B5290" t="s">
        <v>5642</v>
      </c>
      <c r="C5290" t="str">
        <f>"460027199910131023"</f>
        <v>460027199910131023</v>
      </c>
      <c r="D5290" t="str">
        <f>"248030102003"</f>
        <v>248030102003</v>
      </c>
      <c r="L5290">
        <v>6769</v>
      </c>
      <c r="M5290" t="s">
        <v>5642</v>
      </c>
      <c r="N5290" t="str">
        <f>"248030102003"</f>
        <v>248030102003</v>
      </c>
      <c r="O5290" t="str">
        <f>"460027199910131023"</f>
        <v>460027199910131023</v>
      </c>
    </row>
    <row r="5291" customFormat="1" spans="1:15">
      <c r="A5291">
        <v>6770</v>
      </c>
      <c r="B5291" t="s">
        <v>5643</v>
      </c>
      <c r="C5291" t="str">
        <f>"46020020010105444X"</f>
        <v>46020020010105444X</v>
      </c>
      <c r="D5291" t="str">
        <f>"248030101123"</f>
        <v>248030101123</v>
      </c>
      <c r="L5291">
        <v>6770</v>
      </c>
      <c r="M5291" t="s">
        <v>5643</v>
      </c>
      <c r="N5291" t="str">
        <f>"248030101123"</f>
        <v>248030101123</v>
      </c>
      <c r="O5291" t="str">
        <f>"46020020010105444X"</f>
        <v>46020020010105444X</v>
      </c>
    </row>
    <row r="5292" customFormat="1" spans="1:15">
      <c r="A5292">
        <v>6771</v>
      </c>
      <c r="B5292" t="s">
        <v>5644</v>
      </c>
      <c r="C5292" t="str">
        <f>"460036199903300024"</f>
        <v>460036199903300024</v>
      </c>
      <c r="D5292" t="str">
        <f>"248030500519"</f>
        <v>248030500519</v>
      </c>
      <c r="L5292">
        <v>6771</v>
      </c>
      <c r="M5292" t="s">
        <v>5644</v>
      </c>
      <c r="N5292" t="str">
        <f>"248030500519"</f>
        <v>248030500519</v>
      </c>
      <c r="O5292" t="str">
        <f>"460036199903300024"</f>
        <v>460036199903300024</v>
      </c>
    </row>
    <row r="5293" customFormat="1" spans="1:15">
      <c r="A5293">
        <v>6772</v>
      </c>
      <c r="B5293" t="s">
        <v>5645</v>
      </c>
      <c r="C5293" t="str">
        <f>"46000319980726242X"</f>
        <v>46000319980726242X</v>
      </c>
      <c r="D5293" t="str">
        <f>"248030103709"</f>
        <v>248030103709</v>
      </c>
      <c r="L5293">
        <v>6772</v>
      </c>
      <c r="M5293" t="s">
        <v>5645</v>
      </c>
      <c r="N5293" t="str">
        <f>"248030103709"</f>
        <v>248030103709</v>
      </c>
      <c r="O5293" t="str">
        <f>"46000319980726242X"</f>
        <v>46000319980726242X</v>
      </c>
    </row>
    <row r="5294" customFormat="1" spans="1:15">
      <c r="A5294">
        <v>6773</v>
      </c>
      <c r="B5294" t="s">
        <v>5646</v>
      </c>
      <c r="C5294" t="str">
        <f>"152824199908010023"</f>
        <v>152824199908010023</v>
      </c>
      <c r="L5294">
        <v>6773</v>
      </c>
      <c r="M5294" t="s">
        <v>5646</v>
      </c>
      <c r="O5294" t="str">
        <f>"152824199908010023"</f>
        <v>152824199908010023</v>
      </c>
    </row>
    <row r="5295" customFormat="1" spans="1:15">
      <c r="A5295">
        <v>6775</v>
      </c>
      <c r="B5295" t="s">
        <v>5647</v>
      </c>
      <c r="C5295" t="str">
        <f>"460102198905181222"</f>
        <v>460102198905181222</v>
      </c>
      <c r="D5295" t="str">
        <f>"248030403725"</f>
        <v>248030403725</v>
      </c>
      <c r="L5295">
        <v>6775</v>
      </c>
      <c r="M5295" t="s">
        <v>5647</v>
      </c>
      <c r="N5295" t="str">
        <f>"248030403725"</f>
        <v>248030403725</v>
      </c>
      <c r="O5295" t="str">
        <f>"460102198905181222"</f>
        <v>460102198905181222</v>
      </c>
    </row>
    <row r="5296" customFormat="1" spans="1:15">
      <c r="A5296">
        <v>6778</v>
      </c>
      <c r="B5296" t="s">
        <v>5648</v>
      </c>
      <c r="C5296" t="str">
        <f>"469023200101240623"</f>
        <v>469023200101240623</v>
      </c>
      <c r="D5296" t="str">
        <f>"248030103505"</f>
        <v>248030103505</v>
      </c>
      <c r="L5296">
        <v>6778</v>
      </c>
      <c r="M5296" t="s">
        <v>5648</v>
      </c>
      <c r="N5296" t="str">
        <f>"248030103505"</f>
        <v>248030103505</v>
      </c>
      <c r="O5296" t="str">
        <f>"469023200101240623"</f>
        <v>469023200101240623</v>
      </c>
    </row>
    <row r="5297" customFormat="1" spans="1:15">
      <c r="A5297">
        <v>6779</v>
      </c>
      <c r="B5297" t="s">
        <v>5649</v>
      </c>
      <c r="C5297" t="str">
        <f>"460003199810084249"</f>
        <v>460003199810084249</v>
      </c>
      <c r="D5297" t="str">
        <f>"248030403527"</f>
        <v>248030403527</v>
      </c>
      <c r="L5297">
        <v>6779</v>
      </c>
      <c r="M5297" t="s">
        <v>5649</v>
      </c>
      <c r="N5297" t="str">
        <f>"248030403527"</f>
        <v>248030403527</v>
      </c>
      <c r="O5297" t="str">
        <f>"460003199810084249"</f>
        <v>460003199810084249</v>
      </c>
    </row>
    <row r="5298" customFormat="1" spans="1:15">
      <c r="A5298">
        <v>6780</v>
      </c>
      <c r="B5298" t="s">
        <v>5650</v>
      </c>
      <c r="C5298" t="str">
        <f>"460025199707022726"</f>
        <v>460025199707022726</v>
      </c>
      <c r="L5298">
        <v>6780</v>
      </c>
      <c r="M5298" t="s">
        <v>5650</v>
      </c>
      <c r="O5298" t="str">
        <f>"460025199707022726"</f>
        <v>460025199707022726</v>
      </c>
    </row>
    <row r="5299" customFormat="1" spans="1:15">
      <c r="A5299">
        <v>6781</v>
      </c>
      <c r="B5299" t="s">
        <v>5651</v>
      </c>
      <c r="C5299" t="str">
        <f>"460006199503274420"</f>
        <v>460006199503274420</v>
      </c>
      <c r="D5299" t="str">
        <f>"248030502412"</f>
        <v>248030502412</v>
      </c>
      <c r="L5299">
        <v>6781</v>
      </c>
      <c r="M5299" t="s">
        <v>5651</v>
      </c>
      <c r="N5299" t="str">
        <f>"248030502412"</f>
        <v>248030502412</v>
      </c>
      <c r="O5299" t="str">
        <f>"460006199503274420"</f>
        <v>460006199503274420</v>
      </c>
    </row>
    <row r="5300" customFormat="1" spans="1:15">
      <c r="A5300">
        <v>6782</v>
      </c>
      <c r="B5300" t="s">
        <v>5652</v>
      </c>
      <c r="C5300" t="str">
        <f>"460006198909150466"</f>
        <v>460006198909150466</v>
      </c>
      <c r="D5300" t="str">
        <f>"248030502117"</f>
        <v>248030502117</v>
      </c>
      <c r="L5300">
        <v>6782</v>
      </c>
      <c r="M5300" t="s">
        <v>5652</v>
      </c>
      <c r="N5300" t="str">
        <f>"248030502117"</f>
        <v>248030502117</v>
      </c>
      <c r="O5300" t="str">
        <f>"460006198909150466"</f>
        <v>460006198909150466</v>
      </c>
    </row>
    <row r="5301" customFormat="1" spans="1:15">
      <c r="A5301">
        <v>6783</v>
      </c>
      <c r="B5301" t="s">
        <v>3133</v>
      </c>
      <c r="C5301" t="str">
        <f>"460026199707163920"</f>
        <v>460026199707163920</v>
      </c>
      <c r="D5301" t="str">
        <f>"248030104030"</f>
        <v>248030104030</v>
      </c>
      <c r="L5301">
        <v>6783</v>
      </c>
      <c r="M5301" t="s">
        <v>3133</v>
      </c>
      <c r="N5301" t="str">
        <f>"248030104030"</f>
        <v>248030104030</v>
      </c>
      <c r="O5301" t="str">
        <f>"460026199707163920"</f>
        <v>460026199707163920</v>
      </c>
    </row>
    <row r="5302" customFormat="1" spans="1:15">
      <c r="A5302">
        <v>6784</v>
      </c>
      <c r="B5302" t="s">
        <v>5653</v>
      </c>
      <c r="C5302" t="str">
        <f>"411421199108133641"</f>
        <v>411421199108133641</v>
      </c>
      <c r="D5302" t="str">
        <f>"248030500426"</f>
        <v>248030500426</v>
      </c>
      <c r="L5302">
        <v>6784</v>
      </c>
      <c r="M5302" t="s">
        <v>5653</v>
      </c>
      <c r="N5302" t="str">
        <f>"248030500426"</f>
        <v>248030500426</v>
      </c>
      <c r="O5302" t="str">
        <f>"411421199108133641"</f>
        <v>411421199108133641</v>
      </c>
    </row>
    <row r="5303" customFormat="1" spans="1:15">
      <c r="A5303">
        <v>6785</v>
      </c>
      <c r="B5303" t="s">
        <v>5654</v>
      </c>
      <c r="C5303" t="str">
        <f>"460031199808095227"</f>
        <v>460031199808095227</v>
      </c>
      <c r="D5303" t="str">
        <f>"248030200405"</f>
        <v>248030200405</v>
      </c>
      <c r="L5303">
        <v>6785</v>
      </c>
      <c r="M5303" t="s">
        <v>5654</v>
      </c>
      <c r="N5303" t="str">
        <f>"248030200405"</f>
        <v>248030200405</v>
      </c>
      <c r="O5303" t="str">
        <f>"460031199808095227"</f>
        <v>460031199808095227</v>
      </c>
    </row>
    <row r="5304" customFormat="1" spans="1:15">
      <c r="A5304">
        <v>6786</v>
      </c>
      <c r="B5304" t="s">
        <v>5655</v>
      </c>
      <c r="C5304" t="str">
        <f>"230281199103250217"</f>
        <v>230281199103250217</v>
      </c>
      <c r="D5304" t="str">
        <f>"248030202030"</f>
        <v>248030202030</v>
      </c>
      <c r="L5304">
        <v>6786</v>
      </c>
      <c r="M5304" t="s">
        <v>5655</v>
      </c>
      <c r="N5304" t="str">
        <f>"248030202030"</f>
        <v>248030202030</v>
      </c>
      <c r="O5304" t="str">
        <f>"230281199103250217"</f>
        <v>230281199103250217</v>
      </c>
    </row>
    <row r="5305" customFormat="1" spans="1:15">
      <c r="A5305">
        <v>6787</v>
      </c>
      <c r="B5305" t="s">
        <v>5656</v>
      </c>
      <c r="C5305" t="str">
        <f>"460007199708115825"</f>
        <v>460007199708115825</v>
      </c>
      <c r="D5305" t="str">
        <f>"248030100113"</f>
        <v>248030100113</v>
      </c>
      <c r="L5305">
        <v>6787</v>
      </c>
      <c r="M5305" t="s">
        <v>5656</v>
      </c>
      <c r="N5305" t="str">
        <f>"248030100113"</f>
        <v>248030100113</v>
      </c>
      <c r="O5305" t="str">
        <f>"460007199708115825"</f>
        <v>460007199708115825</v>
      </c>
    </row>
    <row r="5306" customFormat="1" spans="1:15">
      <c r="A5306">
        <v>6788</v>
      </c>
      <c r="B5306" t="s">
        <v>5657</v>
      </c>
      <c r="C5306" t="str">
        <f>"460003199912055625"</f>
        <v>460003199912055625</v>
      </c>
      <c r="D5306" t="str">
        <f>"248030103718"</f>
        <v>248030103718</v>
      </c>
      <c r="L5306">
        <v>6788</v>
      </c>
      <c r="M5306" t="s">
        <v>5657</v>
      </c>
      <c r="N5306" t="str">
        <f>"248030103718"</f>
        <v>248030103718</v>
      </c>
      <c r="O5306" t="str">
        <f>"460003199912055625"</f>
        <v>460003199912055625</v>
      </c>
    </row>
    <row r="5307" customFormat="1" spans="1:15">
      <c r="A5307">
        <v>6789</v>
      </c>
      <c r="B5307" t="s">
        <v>2909</v>
      </c>
      <c r="C5307" t="str">
        <f>"460004199503041245"</f>
        <v>460004199503041245</v>
      </c>
      <c r="D5307" t="str">
        <f>"248030301415"</f>
        <v>248030301415</v>
      </c>
      <c r="L5307">
        <v>6789</v>
      </c>
      <c r="M5307" t="s">
        <v>2909</v>
      </c>
      <c r="N5307" t="str">
        <f>"248030301415"</f>
        <v>248030301415</v>
      </c>
      <c r="O5307" t="str">
        <f>"460004199503041245"</f>
        <v>460004199503041245</v>
      </c>
    </row>
    <row r="5308" customFormat="1" spans="1:15">
      <c r="A5308">
        <v>6790</v>
      </c>
      <c r="B5308" t="s">
        <v>490</v>
      </c>
      <c r="C5308" t="str">
        <f>"440882199802195745"</f>
        <v>440882199802195745</v>
      </c>
      <c r="D5308" t="str">
        <f>"248030500325"</f>
        <v>248030500325</v>
      </c>
      <c r="L5308">
        <v>6790</v>
      </c>
      <c r="M5308" t="s">
        <v>490</v>
      </c>
      <c r="N5308" t="str">
        <f>"248030500325"</f>
        <v>248030500325</v>
      </c>
      <c r="O5308" t="str">
        <f>"440882199802195745"</f>
        <v>440882199802195745</v>
      </c>
    </row>
    <row r="5309" customFormat="1" spans="1:15">
      <c r="A5309">
        <v>6791</v>
      </c>
      <c r="B5309" t="s">
        <v>5658</v>
      </c>
      <c r="C5309" t="str">
        <f>"630104199311210523"</f>
        <v>630104199311210523</v>
      </c>
      <c r="L5309">
        <v>6791</v>
      </c>
      <c r="M5309" t="s">
        <v>5658</v>
      </c>
      <c r="O5309" t="str">
        <f>"630104199311210523"</f>
        <v>630104199311210523</v>
      </c>
    </row>
    <row r="5310" customFormat="1" spans="1:15">
      <c r="A5310">
        <v>6792</v>
      </c>
      <c r="B5310" t="s">
        <v>5659</v>
      </c>
      <c r="C5310" t="str">
        <f>"46003119990825001X"</f>
        <v>46003119990825001X</v>
      </c>
      <c r="D5310" t="str">
        <f>"248030402206"</f>
        <v>248030402206</v>
      </c>
      <c r="L5310">
        <v>6792</v>
      </c>
      <c r="M5310" t="s">
        <v>5659</v>
      </c>
      <c r="N5310" t="str">
        <f>"248030402206"</f>
        <v>248030402206</v>
      </c>
      <c r="O5310" t="str">
        <f>"46003119990825001X"</f>
        <v>46003119990825001X</v>
      </c>
    </row>
    <row r="5311" customFormat="1" spans="1:15">
      <c r="A5311">
        <v>6793</v>
      </c>
      <c r="B5311" t="s">
        <v>5660</v>
      </c>
      <c r="C5311" t="str">
        <f>"460033200209041487"</f>
        <v>460033200209041487</v>
      </c>
      <c r="D5311" t="str">
        <f>"248030101622"</f>
        <v>248030101622</v>
      </c>
      <c r="L5311">
        <v>6793</v>
      </c>
      <c r="M5311" t="s">
        <v>5660</v>
      </c>
      <c r="N5311" t="str">
        <f>"248030101622"</f>
        <v>248030101622</v>
      </c>
      <c r="O5311" t="str">
        <f>"460033200209041487"</f>
        <v>460033200209041487</v>
      </c>
    </row>
    <row r="5312" customFormat="1" spans="1:15">
      <c r="A5312">
        <v>6795</v>
      </c>
      <c r="B5312" t="s">
        <v>5661</v>
      </c>
      <c r="C5312" t="str">
        <f>"460026199712290940"</f>
        <v>460026199712290940</v>
      </c>
      <c r="D5312" t="str">
        <f>"248030401301"</f>
        <v>248030401301</v>
      </c>
      <c r="L5312">
        <v>6795</v>
      </c>
      <c r="M5312" t="s">
        <v>5661</v>
      </c>
      <c r="N5312" t="str">
        <f>"248030401301"</f>
        <v>248030401301</v>
      </c>
      <c r="O5312" t="str">
        <f>"460026199712290940"</f>
        <v>460026199712290940</v>
      </c>
    </row>
    <row r="5313" customFormat="1" spans="1:15">
      <c r="A5313">
        <v>6797</v>
      </c>
      <c r="B5313" t="s">
        <v>5662</v>
      </c>
      <c r="C5313" t="str">
        <f>"46000320010107422X"</f>
        <v>46000320010107422X</v>
      </c>
      <c r="D5313" t="str">
        <f>"248030301405"</f>
        <v>248030301405</v>
      </c>
      <c r="L5313">
        <v>6797</v>
      </c>
      <c r="M5313" t="s">
        <v>5662</v>
      </c>
      <c r="N5313" t="str">
        <f>"248030301405"</f>
        <v>248030301405</v>
      </c>
      <c r="O5313" t="str">
        <f>"46000320010107422X"</f>
        <v>46000320010107422X</v>
      </c>
    </row>
    <row r="5314" customFormat="1" spans="1:15">
      <c r="A5314">
        <v>6798</v>
      </c>
      <c r="B5314" t="s">
        <v>3200</v>
      </c>
      <c r="C5314" t="str">
        <f>"460032199306164364"</f>
        <v>460032199306164364</v>
      </c>
      <c r="D5314" t="str">
        <f>"248030300927"</f>
        <v>248030300927</v>
      </c>
      <c r="L5314">
        <v>6798</v>
      </c>
      <c r="M5314" t="s">
        <v>3200</v>
      </c>
      <c r="N5314" t="str">
        <f>"248030300927"</f>
        <v>248030300927</v>
      </c>
      <c r="O5314" t="str">
        <f>"460032199306164364"</f>
        <v>460032199306164364</v>
      </c>
    </row>
    <row r="5315" customFormat="1" spans="1:15">
      <c r="A5315">
        <v>6799</v>
      </c>
      <c r="B5315" t="s">
        <v>5663</v>
      </c>
      <c r="C5315" t="str">
        <f>"460006200010197215"</f>
        <v>460006200010197215</v>
      </c>
      <c r="D5315" t="str">
        <f>"248030202021"</f>
        <v>248030202021</v>
      </c>
      <c r="L5315">
        <v>6799</v>
      </c>
      <c r="M5315" t="s">
        <v>5663</v>
      </c>
      <c r="N5315" t="str">
        <f>"248030202021"</f>
        <v>248030202021</v>
      </c>
      <c r="O5315" t="str">
        <f>"460006200010197215"</f>
        <v>460006200010197215</v>
      </c>
    </row>
    <row r="5316" customFormat="1" spans="1:15">
      <c r="A5316">
        <v>6800</v>
      </c>
      <c r="B5316" t="s">
        <v>5664</v>
      </c>
      <c r="C5316" t="str">
        <f>"460026200109093921"</f>
        <v>460026200109093921</v>
      </c>
      <c r="D5316" t="str">
        <f>"248030301619"</f>
        <v>248030301619</v>
      </c>
      <c r="L5316">
        <v>6800</v>
      </c>
      <c r="M5316" t="s">
        <v>5664</v>
      </c>
      <c r="N5316" t="str">
        <f>"248030301619"</f>
        <v>248030301619</v>
      </c>
      <c r="O5316" t="str">
        <f>"460026200109093921"</f>
        <v>460026200109093921</v>
      </c>
    </row>
    <row r="5317" customFormat="1" spans="1:15">
      <c r="A5317">
        <v>6801</v>
      </c>
      <c r="B5317" t="s">
        <v>5665</v>
      </c>
      <c r="C5317" t="str">
        <f>"460007198911014988"</f>
        <v>460007198911014988</v>
      </c>
      <c r="L5317">
        <v>6801</v>
      </c>
      <c r="M5317" t="s">
        <v>5665</v>
      </c>
      <c r="O5317" t="str">
        <f>"460007198911014988"</f>
        <v>460007198911014988</v>
      </c>
    </row>
    <row r="5318" customFormat="1" spans="1:15">
      <c r="A5318">
        <v>6802</v>
      </c>
      <c r="B5318" t="s">
        <v>5666</v>
      </c>
      <c r="C5318" t="str">
        <f>"420801199509134028"</f>
        <v>420801199509134028</v>
      </c>
      <c r="D5318" t="str">
        <f>"248030203008"</f>
        <v>248030203008</v>
      </c>
      <c r="L5318">
        <v>6802</v>
      </c>
      <c r="M5318" t="s">
        <v>5666</v>
      </c>
      <c r="N5318" t="str">
        <f>"248030203008"</f>
        <v>248030203008</v>
      </c>
      <c r="O5318" t="str">
        <f>"420801199509134028"</f>
        <v>420801199509134028</v>
      </c>
    </row>
    <row r="5319" customFormat="1" spans="1:15">
      <c r="A5319">
        <v>6803</v>
      </c>
      <c r="B5319" t="s">
        <v>5667</v>
      </c>
      <c r="C5319" t="str">
        <f>"460003199107162428"</f>
        <v>460003199107162428</v>
      </c>
      <c r="D5319" t="str">
        <f>"248030302114"</f>
        <v>248030302114</v>
      </c>
      <c r="L5319">
        <v>6803</v>
      </c>
      <c r="M5319" t="s">
        <v>5667</v>
      </c>
      <c r="N5319" t="str">
        <f>"248030302114"</f>
        <v>248030302114</v>
      </c>
      <c r="O5319" t="str">
        <f>"460003199107162428"</f>
        <v>460003199107162428</v>
      </c>
    </row>
    <row r="5320" customFormat="1" spans="1:15">
      <c r="A5320">
        <v>6804</v>
      </c>
      <c r="B5320" t="s">
        <v>5668</v>
      </c>
      <c r="C5320" t="str">
        <f>"460028200110250421"</f>
        <v>460028200110250421</v>
      </c>
      <c r="D5320" t="str">
        <f>"248030403726"</f>
        <v>248030403726</v>
      </c>
      <c r="L5320">
        <v>6804</v>
      </c>
      <c r="M5320" t="s">
        <v>5668</v>
      </c>
      <c r="N5320" t="str">
        <f>"248030403726"</f>
        <v>248030403726</v>
      </c>
      <c r="O5320" t="str">
        <f>"460028200110250421"</f>
        <v>460028200110250421</v>
      </c>
    </row>
    <row r="5321" customFormat="1" spans="1:15">
      <c r="A5321">
        <v>6805</v>
      </c>
      <c r="B5321" t="s">
        <v>5669</v>
      </c>
      <c r="C5321" t="str">
        <f>"460006199307136821"</f>
        <v>460006199307136821</v>
      </c>
      <c r="L5321">
        <v>6805</v>
      </c>
      <c r="M5321" t="s">
        <v>5669</v>
      </c>
      <c r="O5321" t="str">
        <f>"460006199307136821"</f>
        <v>460006199307136821</v>
      </c>
    </row>
    <row r="5322" customFormat="1" spans="1:15">
      <c r="A5322">
        <v>6806</v>
      </c>
      <c r="B5322" t="s">
        <v>5670</v>
      </c>
      <c r="C5322" t="str">
        <f>"430482199702094310"</f>
        <v>430482199702094310</v>
      </c>
      <c r="D5322" t="str">
        <f>"248030201402"</f>
        <v>248030201402</v>
      </c>
      <c r="L5322">
        <v>6806</v>
      </c>
      <c r="M5322" t="s">
        <v>5670</v>
      </c>
      <c r="N5322" t="str">
        <f>"248030201402"</f>
        <v>248030201402</v>
      </c>
      <c r="O5322" t="str">
        <f>"430482199702094310"</f>
        <v>430482199702094310</v>
      </c>
    </row>
    <row r="5323" customFormat="1" spans="1:15">
      <c r="A5323">
        <v>6807</v>
      </c>
      <c r="B5323" t="s">
        <v>5671</v>
      </c>
      <c r="C5323" t="str">
        <f>"469005200110071929"</f>
        <v>469005200110071929</v>
      </c>
      <c r="D5323" t="str">
        <f>"248030300609"</f>
        <v>248030300609</v>
      </c>
      <c r="L5323">
        <v>6807</v>
      </c>
      <c r="M5323" t="s">
        <v>5671</v>
      </c>
      <c r="N5323" t="str">
        <f>"248030300609"</f>
        <v>248030300609</v>
      </c>
      <c r="O5323" t="str">
        <f>"469005200110071929"</f>
        <v>469005200110071929</v>
      </c>
    </row>
    <row r="5324" customFormat="1" spans="1:15">
      <c r="A5324">
        <v>6808</v>
      </c>
      <c r="B5324" t="s">
        <v>5672</v>
      </c>
      <c r="C5324" t="str">
        <f>"460007199903080429"</f>
        <v>460007199903080429</v>
      </c>
      <c r="D5324" t="str">
        <f>"248030100404"</f>
        <v>248030100404</v>
      </c>
      <c r="L5324">
        <v>6808</v>
      </c>
      <c r="M5324" t="s">
        <v>5672</v>
      </c>
      <c r="N5324" t="str">
        <f>"248030100404"</f>
        <v>248030100404</v>
      </c>
      <c r="O5324" t="str">
        <f>"460007199903080429"</f>
        <v>460007199903080429</v>
      </c>
    </row>
    <row r="5325" customFormat="1" spans="1:15">
      <c r="A5325">
        <v>6809</v>
      </c>
      <c r="B5325" t="s">
        <v>5673</v>
      </c>
      <c r="C5325" t="str">
        <f>"460028200106154023"</f>
        <v>460028200106154023</v>
      </c>
      <c r="L5325">
        <v>6809</v>
      </c>
      <c r="M5325" t="s">
        <v>5673</v>
      </c>
      <c r="O5325" t="str">
        <f>"460028200106154023"</f>
        <v>460028200106154023</v>
      </c>
    </row>
    <row r="5326" customFormat="1" spans="1:15">
      <c r="A5326">
        <v>6810</v>
      </c>
      <c r="B5326" t="s">
        <v>3133</v>
      </c>
      <c r="C5326" t="str">
        <f>"460004199409204626"</f>
        <v>460004199409204626</v>
      </c>
      <c r="D5326" t="str">
        <f>"248030502811"</f>
        <v>248030502811</v>
      </c>
      <c r="L5326">
        <v>6810</v>
      </c>
      <c r="M5326" t="s">
        <v>3133</v>
      </c>
      <c r="N5326" t="str">
        <f>"248030502811"</f>
        <v>248030502811</v>
      </c>
      <c r="O5326" t="str">
        <f>"460004199409204626"</f>
        <v>460004199409204626</v>
      </c>
    </row>
    <row r="5327" customFormat="1" spans="1:15">
      <c r="A5327">
        <v>6812</v>
      </c>
      <c r="B5327" t="s">
        <v>5674</v>
      </c>
      <c r="C5327" t="str">
        <f>"460300199902040320"</f>
        <v>460300199902040320</v>
      </c>
      <c r="D5327" t="str">
        <f>"248030301707"</f>
        <v>248030301707</v>
      </c>
      <c r="L5327">
        <v>6812</v>
      </c>
      <c r="M5327" t="s">
        <v>5674</v>
      </c>
      <c r="N5327" t="str">
        <f>"248030301707"</f>
        <v>248030301707</v>
      </c>
      <c r="O5327" t="str">
        <f>"460300199902040320"</f>
        <v>460300199902040320</v>
      </c>
    </row>
    <row r="5328" customFormat="1" spans="1:15">
      <c r="A5328">
        <v>6813</v>
      </c>
      <c r="B5328" t="s">
        <v>5675</v>
      </c>
      <c r="C5328" t="str">
        <f>"460033200105273881"</f>
        <v>460033200105273881</v>
      </c>
      <c r="D5328" t="str">
        <f>"248030300908"</f>
        <v>248030300908</v>
      </c>
      <c r="L5328">
        <v>6813</v>
      </c>
      <c r="M5328" t="s">
        <v>5675</v>
      </c>
      <c r="N5328" t="str">
        <f>"248030300908"</f>
        <v>248030300908</v>
      </c>
      <c r="O5328" t="str">
        <f>"460033200105273881"</f>
        <v>460033200105273881</v>
      </c>
    </row>
    <row r="5329" customFormat="1" spans="1:15">
      <c r="A5329">
        <v>6814</v>
      </c>
      <c r="B5329" t="s">
        <v>5676</v>
      </c>
      <c r="C5329" t="str">
        <f>"460025200009250030"</f>
        <v>460025200009250030</v>
      </c>
      <c r="L5329">
        <v>6814</v>
      </c>
      <c r="M5329" t="s">
        <v>5676</v>
      </c>
      <c r="O5329" t="str">
        <f>"460025200009250030"</f>
        <v>460025200009250030</v>
      </c>
    </row>
    <row r="5330" customFormat="1" spans="1:15">
      <c r="A5330">
        <v>6815</v>
      </c>
      <c r="B5330" t="s">
        <v>5677</v>
      </c>
      <c r="C5330" t="str">
        <f>"460033200206123225"</f>
        <v>460033200206123225</v>
      </c>
      <c r="D5330" t="str">
        <f>"248030502323"</f>
        <v>248030502323</v>
      </c>
      <c r="L5330">
        <v>6815</v>
      </c>
      <c r="M5330" t="s">
        <v>5677</v>
      </c>
      <c r="N5330" t="str">
        <f>"248030502323"</f>
        <v>248030502323</v>
      </c>
      <c r="O5330" t="str">
        <f>"460033200206123225"</f>
        <v>460033200206123225</v>
      </c>
    </row>
    <row r="5331" customFormat="1" spans="1:15">
      <c r="A5331">
        <v>6816</v>
      </c>
      <c r="B5331" t="s">
        <v>5678</v>
      </c>
      <c r="C5331" t="str">
        <f>"469025199711184822"</f>
        <v>469025199711184822</v>
      </c>
      <c r="D5331" t="str">
        <f>"248030101512"</f>
        <v>248030101512</v>
      </c>
      <c r="L5331">
        <v>6816</v>
      </c>
      <c r="M5331" t="s">
        <v>5678</v>
      </c>
      <c r="N5331" t="str">
        <f>"248030101512"</f>
        <v>248030101512</v>
      </c>
      <c r="O5331" t="str">
        <f>"469025199711184822"</f>
        <v>469025199711184822</v>
      </c>
    </row>
    <row r="5332" customFormat="1" spans="1:15">
      <c r="A5332">
        <v>6817</v>
      </c>
      <c r="B5332" t="s">
        <v>5679</v>
      </c>
      <c r="C5332" t="str">
        <f>"469027199903258569"</f>
        <v>469027199903258569</v>
      </c>
      <c r="L5332">
        <v>6817</v>
      </c>
      <c r="M5332" t="s">
        <v>5679</v>
      </c>
      <c r="O5332" t="str">
        <f>"469027199903258569"</f>
        <v>469027199903258569</v>
      </c>
    </row>
    <row r="5333" customFormat="1" spans="1:15">
      <c r="A5333">
        <v>6818</v>
      </c>
      <c r="B5333" t="s">
        <v>5680</v>
      </c>
      <c r="C5333" t="str">
        <f>"460034199801290424"</f>
        <v>460034199801290424</v>
      </c>
      <c r="D5333" t="str">
        <f>"248030300701"</f>
        <v>248030300701</v>
      </c>
      <c r="L5333">
        <v>6818</v>
      </c>
      <c r="M5333" t="s">
        <v>5680</v>
      </c>
      <c r="N5333" t="str">
        <f>"248030300701"</f>
        <v>248030300701</v>
      </c>
      <c r="O5333" t="str">
        <f>"460034199801290424"</f>
        <v>460034199801290424</v>
      </c>
    </row>
    <row r="5334" customFormat="1" spans="1:15">
      <c r="A5334">
        <v>6820</v>
      </c>
      <c r="B5334" t="s">
        <v>5681</v>
      </c>
      <c r="C5334" t="str">
        <f>"46002620000606452X"</f>
        <v>46002620000606452X</v>
      </c>
      <c r="D5334" t="str">
        <f>"248030104904"</f>
        <v>248030104904</v>
      </c>
      <c r="L5334">
        <v>6820</v>
      </c>
      <c r="M5334" t="s">
        <v>5681</v>
      </c>
      <c r="N5334" t="str">
        <f>"248030104904"</f>
        <v>248030104904</v>
      </c>
      <c r="O5334" t="str">
        <f>"46002620000606452X"</f>
        <v>46002620000606452X</v>
      </c>
    </row>
    <row r="5335" customFormat="1" spans="1:15">
      <c r="A5335">
        <v>6821</v>
      </c>
      <c r="B5335" t="s">
        <v>5682</v>
      </c>
      <c r="C5335" t="str">
        <f>"460006200107306529"</f>
        <v>460006200107306529</v>
      </c>
      <c r="D5335" t="str">
        <f>"248030202618"</f>
        <v>248030202618</v>
      </c>
      <c r="L5335">
        <v>6821</v>
      </c>
      <c r="M5335" t="s">
        <v>5682</v>
      </c>
      <c r="N5335" t="str">
        <f>"248030202618"</f>
        <v>248030202618</v>
      </c>
      <c r="O5335" t="str">
        <f>"460006200107306529"</f>
        <v>460006200107306529</v>
      </c>
    </row>
    <row r="5336" customFormat="1" spans="1:15">
      <c r="A5336">
        <v>6822</v>
      </c>
      <c r="B5336" t="s">
        <v>5683</v>
      </c>
      <c r="C5336" t="str">
        <f>"460006199312250223"</f>
        <v>460006199312250223</v>
      </c>
      <c r="L5336">
        <v>6822</v>
      </c>
      <c r="M5336" t="s">
        <v>5683</v>
      </c>
      <c r="O5336" t="str">
        <f>"460006199312250223"</f>
        <v>460006199312250223</v>
      </c>
    </row>
    <row r="5337" customFormat="1" spans="1:15">
      <c r="A5337">
        <v>6823</v>
      </c>
      <c r="B5337" t="s">
        <v>5684</v>
      </c>
      <c r="C5337" t="str">
        <f>"469005200009245648"</f>
        <v>469005200009245648</v>
      </c>
      <c r="L5337">
        <v>6823</v>
      </c>
      <c r="M5337" t="s">
        <v>5684</v>
      </c>
      <c r="O5337" t="str">
        <f>"469005200009245648"</f>
        <v>469005200009245648</v>
      </c>
    </row>
    <row r="5338" customFormat="1" spans="1:15">
      <c r="A5338">
        <v>6824</v>
      </c>
      <c r="B5338" t="s">
        <v>5685</v>
      </c>
      <c r="C5338" t="str">
        <f>"460007200307036160"</f>
        <v>460007200307036160</v>
      </c>
      <c r="L5338">
        <v>6824</v>
      </c>
      <c r="M5338" t="s">
        <v>5685</v>
      </c>
      <c r="O5338" t="str">
        <f>"460007200307036160"</f>
        <v>460007200307036160</v>
      </c>
    </row>
    <row r="5339" customFormat="1" spans="1:15">
      <c r="A5339">
        <v>6825</v>
      </c>
      <c r="B5339" t="s">
        <v>5686</v>
      </c>
      <c r="C5339" t="str">
        <f>"210224199110280827"</f>
        <v>210224199110280827</v>
      </c>
      <c r="D5339" t="str">
        <f>"248030104315"</f>
        <v>248030104315</v>
      </c>
      <c r="L5339">
        <v>6825</v>
      </c>
      <c r="M5339" t="s">
        <v>5686</v>
      </c>
      <c r="N5339" t="str">
        <f>"248030104315"</f>
        <v>248030104315</v>
      </c>
      <c r="O5339" t="str">
        <f>"210224199110280827"</f>
        <v>210224199110280827</v>
      </c>
    </row>
    <row r="5340" customFormat="1" spans="1:15">
      <c r="A5340">
        <v>6826</v>
      </c>
      <c r="B5340" t="s">
        <v>5687</v>
      </c>
      <c r="C5340" t="str">
        <f>"130627199302082228"</f>
        <v>130627199302082228</v>
      </c>
      <c r="D5340" t="str">
        <f>"248030202712"</f>
        <v>248030202712</v>
      </c>
      <c r="L5340">
        <v>6826</v>
      </c>
      <c r="M5340" t="s">
        <v>5687</v>
      </c>
      <c r="N5340" t="str">
        <f>"248030202712"</f>
        <v>248030202712</v>
      </c>
      <c r="O5340" t="str">
        <f>"130627199302082228"</f>
        <v>130627199302082228</v>
      </c>
    </row>
    <row r="5341" customFormat="1" spans="1:15">
      <c r="A5341">
        <v>6827</v>
      </c>
      <c r="B5341" t="s">
        <v>5688</v>
      </c>
      <c r="C5341" t="str">
        <f>"460028200001100029"</f>
        <v>460028200001100029</v>
      </c>
      <c r="D5341" t="str">
        <f>"248030100429"</f>
        <v>248030100429</v>
      </c>
      <c r="L5341">
        <v>6827</v>
      </c>
      <c r="M5341" t="s">
        <v>5688</v>
      </c>
      <c r="N5341" t="str">
        <f>"248030100429"</f>
        <v>248030100429</v>
      </c>
      <c r="O5341" t="str">
        <f>"460028200001100029"</f>
        <v>460028200001100029</v>
      </c>
    </row>
    <row r="5342" customFormat="1" spans="1:15">
      <c r="A5342">
        <v>6828</v>
      </c>
      <c r="B5342" t="s">
        <v>5689</v>
      </c>
      <c r="C5342" t="str">
        <f>"460103199811301220"</f>
        <v>460103199811301220</v>
      </c>
      <c r="D5342" t="str">
        <f>"248030104604"</f>
        <v>248030104604</v>
      </c>
      <c r="L5342">
        <v>6828</v>
      </c>
      <c r="M5342" t="s">
        <v>5689</v>
      </c>
      <c r="N5342" t="str">
        <f>"248030104604"</f>
        <v>248030104604</v>
      </c>
      <c r="O5342" t="str">
        <f>"460103199811301220"</f>
        <v>460103199811301220</v>
      </c>
    </row>
    <row r="5343" customFormat="1" spans="1:15">
      <c r="A5343">
        <v>6829</v>
      </c>
      <c r="B5343" t="s">
        <v>5690</v>
      </c>
      <c r="C5343" t="str">
        <f>"460022199409114527"</f>
        <v>460022199409114527</v>
      </c>
      <c r="D5343" t="str">
        <f>"248030500910"</f>
        <v>248030500910</v>
      </c>
      <c r="L5343">
        <v>6829</v>
      </c>
      <c r="M5343" t="s">
        <v>5690</v>
      </c>
      <c r="N5343" t="str">
        <f>"248030500910"</f>
        <v>248030500910</v>
      </c>
      <c r="O5343" t="str">
        <f>"460022199409114527"</f>
        <v>460022199409114527</v>
      </c>
    </row>
    <row r="5344" customFormat="1" spans="1:15">
      <c r="A5344">
        <v>6830</v>
      </c>
      <c r="B5344" t="s">
        <v>5691</v>
      </c>
      <c r="C5344" t="str">
        <f>"46000619930907162X"</f>
        <v>46000619930907162X</v>
      </c>
      <c r="D5344" t="str">
        <f>"248030104130"</f>
        <v>248030104130</v>
      </c>
      <c r="L5344">
        <v>6830</v>
      </c>
      <c r="M5344" t="s">
        <v>5691</v>
      </c>
      <c r="N5344" t="str">
        <f>"248030104130"</f>
        <v>248030104130</v>
      </c>
      <c r="O5344" t="str">
        <f>"46000619930907162X"</f>
        <v>46000619930907162X</v>
      </c>
    </row>
    <row r="5345" customFormat="1" spans="1:15">
      <c r="A5345">
        <v>6831</v>
      </c>
      <c r="B5345" t="s">
        <v>5692</v>
      </c>
      <c r="C5345" t="str">
        <f>"460027199910048510"</f>
        <v>460027199910048510</v>
      </c>
      <c r="L5345">
        <v>6831</v>
      </c>
      <c r="M5345" t="s">
        <v>5692</v>
      </c>
      <c r="O5345" t="str">
        <f>"460027199910048510"</f>
        <v>460027199910048510</v>
      </c>
    </row>
    <row r="5346" customFormat="1" spans="1:15">
      <c r="A5346">
        <v>6832</v>
      </c>
      <c r="B5346" t="s">
        <v>5693</v>
      </c>
      <c r="C5346" t="str">
        <f>"230523199512142519"</f>
        <v>230523199512142519</v>
      </c>
      <c r="D5346" t="str">
        <f>"248030201203"</f>
        <v>248030201203</v>
      </c>
      <c r="L5346">
        <v>6832</v>
      </c>
      <c r="M5346" t="s">
        <v>5693</v>
      </c>
      <c r="N5346" t="str">
        <f>"248030201203"</f>
        <v>248030201203</v>
      </c>
      <c r="O5346" t="str">
        <f>"230523199512142519"</f>
        <v>230523199512142519</v>
      </c>
    </row>
    <row r="5347" customFormat="1" spans="1:15">
      <c r="A5347">
        <v>6833</v>
      </c>
      <c r="B5347" t="s">
        <v>5694</v>
      </c>
      <c r="C5347" t="str">
        <f>"460025199810192715"</f>
        <v>460025199810192715</v>
      </c>
      <c r="D5347" t="str">
        <f>"248030202302"</f>
        <v>248030202302</v>
      </c>
      <c r="L5347">
        <v>6833</v>
      </c>
      <c r="M5347" t="s">
        <v>5694</v>
      </c>
      <c r="N5347" t="str">
        <f>"248030202302"</f>
        <v>248030202302</v>
      </c>
      <c r="O5347" t="str">
        <f>"460025199810192715"</f>
        <v>460025199810192715</v>
      </c>
    </row>
    <row r="5348" customFormat="1" spans="1:15">
      <c r="A5348">
        <v>6835</v>
      </c>
      <c r="B5348" t="s">
        <v>5695</v>
      </c>
      <c r="C5348" t="str">
        <f>"460006200209022025"</f>
        <v>460006200209022025</v>
      </c>
      <c r="D5348" t="str">
        <f>"248030300425"</f>
        <v>248030300425</v>
      </c>
      <c r="L5348">
        <v>6835</v>
      </c>
      <c r="M5348" t="s">
        <v>5695</v>
      </c>
      <c r="N5348" t="str">
        <f>"248030300425"</f>
        <v>248030300425</v>
      </c>
      <c r="O5348" t="str">
        <f>"460006200209022025"</f>
        <v>460006200209022025</v>
      </c>
    </row>
    <row r="5349" customFormat="1" spans="1:15">
      <c r="A5349">
        <v>6836</v>
      </c>
      <c r="B5349" t="s">
        <v>5696</v>
      </c>
      <c r="C5349" t="str">
        <f>"460102199405192122"</f>
        <v>460102199405192122</v>
      </c>
      <c r="L5349">
        <v>6836</v>
      </c>
      <c r="M5349" t="s">
        <v>5696</v>
      </c>
      <c r="O5349" t="str">
        <f>"460102199405192122"</f>
        <v>460102199405192122</v>
      </c>
    </row>
    <row r="5350" customFormat="1" spans="1:15">
      <c r="A5350">
        <v>6837</v>
      </c>
      <c r="B5350" t="s">
        <v>5697</v>
      </c>
      <c r="C5350" t="str">
        <f>"469005199510091042"</f>
        <v>469005199510091042</v>
      </c>
      <c r="D5350" t="str">
        <f>"248030403021"</f>
        <v>248030403021</v>
      </c>
      <c r="L5350">
        <v>6837</v>
      </c>
      <c r="M5350" t="s">
        <v>5697</v>
      </c>
      <c r="N5350" t="str">
        <f>"248030403021"</f>
        <v>248030403021</v>
      </c>
      <c r="O5350" t="str">
        <f>"469005199510091042"</f>
        <v>469005199510091042</v>
      </c>
    </row>
    <row r="5351" customFormat="1" spans="1:15">
      <c r="A5351">
        <v>6838</v>
      </c>
      <c r="B5351" t="s">
        <v>5698</v>
      </c>
      <c r="C5351" t="str">
        <f>"460028198809250425"</f>
        <v>460028198809250425</v>
      </c>
      <c r="D5351" t="str">
        <f>"248030104011"</f>
        <v>248030104011</v>
      </c>
      <c r="L5351">
        <v>6838</v>
      </c>
      <c r="M5351" t="s">
        <v>5698</v>
      </c>
      <c r="N5351" t="str">
        <f>"248030104011"</f>
        <v>248030104011</v>
      </c>
      <c r="O5351" t="str">
        <f>"460028198809250425"</f>
        <v>460028198809250425</v>
      </c>
    </row>
    <row r="5352" customFormat="1" spans="1:15">
      <c r="A5352">
        <v>6839</v>
      </c>
      <c r="B5352" t="s">
        <v>5699</v>
      </c>
      <c r="C5352" t="str">
        <f>"520103200111012841"</f>
        <v>520103200111012841</v>
      </c>
      <c r="D5352" t="str">
        <f>"248030100529"</f>
        <v>248030100529</v>
      </c>
      <c r="L5352">
        <v>6839</v>
      </c>
      <c r="M5352" t="s">
        <v>5699</v>
      </c>
      <c r="N5352" t="str">
        <f>"248030100529"</f>
        <v>248030100529</v>
      </c>
      <c r="O5352" t="str">
        <f>"520103200111012841"</f>
        <v>520103200111012841</v>
      </c>
    </row>
    <row r="5353" customFormat="1" spans="1:15">
      <c r="A5353">
        <v>6840</v>
      </c>
      <c r="B5353" t="s">
        <v>5700</v>
      </c>
      <c r="C5353" t="str">
        <f>"460006199401257224"</f>
        <v>460006199401257224</v>
      </c>
      <c r="L5353">
        <v>6840</v>
      </c>
      <c r="M5353" t="s">
        <v>5700</v>
      </c>
      <c r="O5353" t="str">
        <f>"460006199401257224"</f>
        <v>460006199401257224</v>
      </c>
    </row>
    <row r="5354" customFormat="1" spans="1:15">
      <c r="A5354">
        <v>6841</v>
      </c>
      <c r="B5354" t="s">
        <v>5701</v>
      </c>
      <c r="C5354" t="str">
        <f>"469024199409105621"</f>
        <v>469024199409105621</v>
      </c>
      <c r="D5354" t="str">
        <f>"248030402318"</f>
        <v>248030402318</v>
      </c>
      <c r="L5354">
        <v>6841</v>
      </c>
      <c r="M5354" t="s">
        <v>5701</v>
      </c>
      <c r="N5354" t="str">
        <f>"248030402318"</f>
        <v>248030402318</v>
      </c>
      <c r="O5354" t="str">
        <f>"469024199409105621"</f>
        <v>469024199409105621</v>
      </c>
    </row>
    <row r="5355" customFormat="1" spans="1:15">
      <c r="A5355">
        <v>6843</v>
      </c>
      <c r="B5355" t="s">
        <v>5702</v>
      </c>
      <c r="C5355" t="str">
        <f>"460030199403243328"</f>
        <v>460030199403243328</v>
      </c>
      <c r="D5355" t="str">
        <f>"248030102420"</f>
        <v>248030102420</v>
      </c>
      <c r="L5355">
        <v>6843</v>
      </c>
      <c r="M5355" t="s">
        <v>5702</v>
      </c>
      <c r="N5355" t="str">
        <f>"248030102420"</f>
        <v>248030102420</v>
      </c>
      <c r="O5355" t="str">
        <f>"460030199403243328"</f>
        <v>460030199403243328</v>
      </c>
    </row>
    <row r="5356" customFormat="1" spans="1:15">
      <c r="A5356">
        <v>6844</v>
      </c>
      <c r="B5356" t="s">
        <v>5703</v>
      </c>
      <c r="C5356" t="str">
        <f>"460028200012051218"</f>
        <v>460028200012051218</v>
      </c>
      <c r="D5356" t="str">
        <f>"248030402329"</f>
        <v>248030402329</v>
      </c>
      <c r="L5356">
        <v>6844</v>
      </c>
      <c r="M5356" t="s">
        <v>5703</v>
      </c>
      <c r="N5356" t="str">
        <f>"248030402329"</f>
        <v>248030402329</v>
      </c>
      <c r="O5356" t="str">
        <f>"460028200012051218"</f>
        <v>460028200012051218</v>
      </c>
    </row>
    <row r="5357" customFormat="1" spans="1:15">
      <c r="A5357">
        <v>6845</v>
      </c>
      <c r="B5357" t="s">
        <v>5704</v>
      </c>
      <c r="C5357" t="str">
        <f>"460031199502055628"</f>
        <v>460031199502055628</v>
      </c>
      <c r="D5357" t="str">
        <f>"248030401811"</f>
        <v>248030401811</v>
      </c>
      <c r="L5357">
        <v>6845</v>
      </c>
      <c r="M5357" t="s">
        <v>5704</v>
      </c>
      <c r="N5357" t="str">
        <f>"248030401811"</f>
        <v>248030401811</v>
      </c>
      <c r="O5357" t="str">
        <f>"460031199502055628"</f>
        <v>460031199502055628</v>
      </c>
    </row>
    <row r="5358" customFormat="1" spans="1:15">
      <c r="A5358">
        <v>6846</v>
      </c>
      <c r="B5358" t="s">
        <v>3411</v>
      </c>
      <c r="C5358" t="str">
        <f>"460003199501023426"</f>
        <v>460003199501023426</v>
      </c>
      <c r="D5358" t="str">
        <f>"248030302630"</f>
        <v>248030302630</v>
      </c>
      <c r="L5358">
        <v>6846</v>
      </c>
      <c r="M5358" t="s">
        <v>3411</v>
      </c>
      <c r="N5358" t="str">
        <f>"248030302630"</f>
        <v>248030302630</v>
      </c>
      <c r="O5358" t="str">
        <f>"460003199501023426"</f>
        <v>460003199501023426</v>
      </c>
    </row>
    <row r="5359" customFormat="1" spans="1:15">
      <c r="A5359">
        <v>6847</v>
      </c>
      <c r="B5359" t="s">
        <v>5705</v>
      </c>
      <c r="C5359" t="str">
        <f>"460004199501314027"</f>
        <v>460004199501314027</v>
      </c>
      <c r="D5359" t="str">
        <f>"248030103307"</f>
        <v>248030103307</v>
      </c>
      <c r="L5359">
        <v>6847</v>
      </c>
      <c r="M5359" t="s">
        <v>5705</v>
      </c>
      <c r="N5359" t="str">
        <f>"248030103307"</f>
        <v>248030103307</v>
      </c>
      <c r="O5359" t="str">
        <f>"460004199501314027"</f>
        <v>460004199501314027</v>
      </c>
    </row>
    <row r="5360" customFormat="1" spans="1:15">
      <c r="A5360">
        <v>6849</v>
      </c>
      <c r="B5360" t="s">
        <v>5706</v>
      </c>
      <c r="C5360" t="str">
        <f>"460003199602095840"</f>
        <v>460003199602095840</v>
      </c>
      <c r="D5360" t="str">
        <f>"248030503615"</f>
        <v>248030503615</v>
      </c>
      <c r="L5360">
        <v>6849</v>
      </c>
      <c r="M5360" t="s">
        <v>5706</v>
      </c>
      <c r="N5360" t="str">
        <f>"248030503615"</f>
        <v>248030503615</v>
      </c>
      <c r="O5360" t="str">
        <f>"460003199602095840"</f>
        <v>460003199602095840</v>
      </c>
    </row>
    <row r="5361" customFormat="1" spans="1:15">
      <c r="A5361">
        <v>6850</v>
      </c>
      <c r="B5361" t="s">
        <v>5707</v>
      </c>
      <c r="C5361" t="str">
        <f>"530323199909061522"</f>
        <v>530323199909061522</v>
      </c>
      <c r="D5361" t="str">
        <f>"248030202818"</f>
        <v>248030202818</v>
      </c>
      <c r="L5361">
        <v>6850</v>
      </c>
      <c r="M5361" t="s">
        <v>5707</v>
      </c>
      <c r="N5361" t="str">
        <f>"248030202818"</f>
        <v>248030202818</v>
      </c>
      <c r="O5361" t="str">
        <f>"530323199909061522"</f>
        <v>530323199909061522</v>
      </c>
    </row>
    <row r="5362" customFormat="1" spans="1:15">
      <c r="A5362">
        <v>6851</v>
      </c>
      <c r="B5362" t="s">
        <v>5708</v>
      </c>
      <c r="C5362" t="str">
        <f>"460300199203220621"</f>
        <v>460300199203220621</v>
      </c>
      <c r="D5362" t="str">
        <f>"248030102316"</f>
        <v>248030102316</v>
      </c>
      <c r="L5362">
        <v>6851</v>
      </c>
      <c r="M5362" t="s">
        <v>5708</v>
      </c>
      <c r="N5362" t="str">
        <f>"248030102316"</f>
        <v>248030102316</v>
      </c>
      <c r="O5362" t="str">
        <f>"460300199203220621"</f>
        <v>460300199203220621</v>
      </c>
    </row>
    <row r="5363" customFormat="1" spans="1:15">
      <c r="A5363">
        <v>6852</v>
      </c>
      <c r="B5363" t="s">
        <v>5709</v>
      </c>
      <c r="C5363" t="str">
        <f>"460030199512213320"</f>
        <v>460030199512213320</v>
      </c>
      <c r="D5363" t="str">
        <f>"248030403701"</f>
        <v>248030403701</v>
      </c>
      <c r="L5363">
        <v>6852</v>
      </c>
      <c r="M5363" t="s">
        <v>5709</v>
      </c>
      <c r="N5363" t="str">
        <f>"248030403701"</f>
        <v>248030403701</v>
      </c>
      <c r="O5363" t="str">
        <f>"460030199512213320"</f>
        <v>460030199512213320</v>
      </c>
    </row>
    <row r="5364" customFormat="1" spans="1:15">
      <c r="A5364">
        <v>6853</v>
      </c>
      <c r="B5364" t="s">
        <v>5710</v>
      </c>
      <c r="C5364" t="str">
        <f>"460004199305030828"</f>
        <v>460004199305030828</v>
      </c>
      <c r="D5364" t="str">
        <f>"248030502628"</f>
        <v>248030502628</v>
      </c>
      <c r="L5364">
        <v>6853</v>
      </c>
      <c r="M5364" t="s">
        <v>5710</v>
      </c>
      <c r="N5364" t="str">
        <f>"248030502628"</f>
        <v>248030502628</v>
      </c>
      <c r="O5364" t="str">
        <f>"460004199305030828"</f>
        <v>460004199305030828</v>
      </c>
    </row>
    <row r="5365" customFormat="1" spans="1:15">
      <c r="A5365">
        <v>6854</v>
      </c>
      <c r="B5365" t="s">
        <v>5711</v>
      </c>
      <c r="C5365" t="str">
        <f>"46002720000812852X"</f>
        <v>46002720000812852X</v>
      </c>
      <c r="D5365" t="str">
        <f>"248030503806"</f>
        <v>248030503806</v>
      </c>
      <c r="L5365">
        <v>6854</v>
      </c>
      <c r="M5365" t="s">
        <v>5711</v>
      </c>
      <c r="N5365" t="str">
        <f>"248030503806"</f>
        <v>248030503806</v>
      </c>
      <c r="O5365" t="str">
        <f>"46002720000812852X"</f>
        <v>46002720000812852X</v>
      </c>
    </row>
    <row r="5366" customFormat="1" spans="1:15">
      <c r="A5366">
        <v>6855</v>
      </c>
      <c r="B5366" t="s">
        <v>3612</v>
      </c>
      <c r="C5366" t="str">
        <f>"460006199303093123"</f>
        <v>460006199303093123</v>
      </c>
      <c r="L5366">
        <v>6855</v>
      </c>
      <c r="M5366" t="s">
        <v>3612</v>
      </c>
      <c r="O5366" t="str">
        <f>"460006199303093123"</f>
        <v>460006199303093123</v>
      </c>
    </row>
    <row r="5367" customFormat="1" spans="1:15">
      <c r="A5367">
        <v>6856</v>
      </c>
      <c r="B5367" t="s">
        <v>5712</v>
      </c>
      <c r="C5367" t="str">
        <f>"46000419960627202X"</f>
        <v>46000419960627202X</v>
      </c>
      <c r="D5367" t="str">
        <f>"248030403508"</f>
        <v>248030403508</v>
      </c>
      <c r="L5367">
        <v>6856</v>
      </c>
      <c r="M5367" t="s">
        <v>5712</v>
      </c>
      <c r="N5367" t="str">
        <f>"248030403508"</f>
        <v>248030403508</v>
      </c>
      <c r="O5367" t="str">
        <f>"46000419960627202X"</f>
        <v>46000419960627202X</v>
      </c>
    </row>
    <row r="5368" customFormat="1" spans="1:15">
      <c r="A5368">
        <v>6857</v>
      </c>
      <c r="B5368" t="s">
        <v>5713</v>
      </c>
      <c r="C5368" t="str">
        <f>"460004200109233412"</f>
        <v>460004200109233412</v>
      </c>
      <c r="D5368" t="str">
        <f>"248030504104"</f>
        <v>248030504104</v>
      </c>
      <c r="L5368">
        <v>6857</v>
      </c>
      <c r="M5368" t="s">
        <v>5713</v>
      </c>
      <c r="N5368" t="str">
        <f>"248030504104"</f>
        <v>248030504104</v>
      </c>
      <c r="O5368" t="str">
        <f>"460004200109233412"</f>
        <v>460004200109233412</v>
      </c>
    </row>
    <row r="5369" customFormat="1" spans="1:15">
      <c r="A5369">
        <v>6858</v>
      </c>
      <c r="B5369" t="s">
        <v>5714</v>
      </c>
      <c r="C5369" t="str">
        <f>"460002199505050548"</f>
        <v>460002199505050548</v>
      </c>
      <c r="D5369" t="str">
        <f>"248030501223"</f>
        <v>248030501223</v>
      </c>
      <c r="L5369">
        <v>6858</v>
      </c>
      <c r="M5369" t="s">
        <v>5714</v>
      </c>
      <c r="N5369" t="str">
        <f>"248030501223"</f>
        <v>248030501223</v>
      </c>
      <c r="O5369" t="str">
        <f>"460002199505050548"</f>
        <v>460002199505050548</v>
      </c>
    </row>
    <row r="5370" customFormat="1" spans="1:15">
      <c r="A5370">
        <v>6859</v>
      </c>
      <c r="B5370" t="s">
        <v>5715</v>
      </c>
      <c r="C5370" t="str">
        <f>"460003199606084241"</f>
        <v>460003199606084241</v>
      </c>
      <c r="D5370" t="str">
        <f>"248030300217"</f>
        <v>248030300217</v>
      </c>
      <c r="L5370">
        <v>6859</v>
      </c>
      <c r="M5370" t="s">
        <v>5715</v>
      </c>
      <c r="N5370" t="str">
        <f>"248030300217"</f>
        <v>248030300217</v>
      </c>
      <c r="O5370" t="str">
        <f>"460003199606084241"</f>
        <v>460003199606084241</v>
      </c>
    </row>
    <row r="5371" customFormat="1" spans="1:15">
      <c r="A5371">
        <v>6860</v>
      </c>
      <c r="B5371" t="s">
        <v>5716</v>
      </c>
      <c r="C5371" t="str">
        <f>"460026200106180026"</f>
        <v>460026200106180026</v>
      </c>
      <c r="D5371" t="str">
        <f>"248030104104"</f>
        <v>248030104104</v>
      </c>
      <c r="L5371">
        <v>6860</v>
      </c>
      <c r="M5371" t="s">
        <v>5716</v>
      </c>
      <c r="N5371" t="str">
        <f>"248030104104"</f>
        <v>248030104104</v>
      </c>
      <c r="O5371" t="str">
        <f>"460026200106180026"</f>
        <v>460026200106180026</v>
      </c>
    </row>
    <row r="5372" customFormat="1" spans="1:15">
      <c r="A5372">
        <v>6861</v>
      </c>
      <c r="B5372" t="s">
        <v>5717</v>
      </c>
      <c r="C5372" t="str">
        <f>"460006199703203723"</f>
        <v>460006199703203723</v>
      </c>
      <c r="L5372">
        <v>6861</v>
      </c>
      <c r="M5372" t="s">
        <v>5717</v>
      </c>
      <c r="O5372" t="str">
        <f>"460006199703203723"</f>
        <v>460006199703203723</v>
      </c>
    </row>
    <row r="5373" customFormat="1" spans="1:15">
      <c r="A5373">
        <v>6862</v>
      </c>
      <c r="B5373" t="s">
        <v>5718</v>
      </c>
      <c r="C5373" t="str">
        <f>"412825199405018218"</f>
        <v>412825199405018218</v>
      </c>
      <c r="D5373" t="str">
        <f>"248030400920"</f>
        <v>248030400920</v>
      </c>
      <c r="L5373">
        <v>6862</v>
      </c>
      <c r="M5373" t="s">
        <v>5718</v>
      </c>
      <c r="N5373" t="str">
        <f>"248030400920"</f>
        <v>248030400920</v>
      </c>
      <c r="O5373" t="str">
        <f>"412825199405018218"</f>
        <v>412825199405018218</v>
      </c>
    </row>
    <row r="5374" customFormat="1" spans="1:15">
      <c r="A5374">
        <v>6863</v>
      </c>
      <c r="B5374" t="s">
        <v>5719</v>
      </c>
      <c r="C5374" t="str">
        <f>"360731199704186524"</f>
        <v>360731199704186524</v>
      </c>
      <c r="D5374" t="str">
        <f>"248030500824"</f>
        <v>248030500824</v>
      </c>
      <c r="L5374">
        <v>6863</v>
      </c>
      <c r="M5374" t="s">
        <v>5719</v>
      </c>
      <c r="N5374" t="str">
        <f>"248030500824"</f>
        <v>248030500824</v>
      </c>
      <c r="O5374" t="str">
        <f>"360731199704186524"</f>
        <v>360731199704186524</v>
      </c>
    </row>
    <row r="5375" customFormat="1" spans="1:15">
      <c r="A5375">
        <v>6864</v>
      </c>
      <c r="B5375" t="s">
        <v>152</v>
      </c>
      <c r="C5375" t="str">
        <f>"469021200006082425"</f>
        <v>469021200006082425</v>
      </c>
      <c r="D5375" t="str">
        <f>"248030301413"</f>
        <v>248030301413</v>
      </c>
      <c r="L5375">
        <v>6864</v>
      </c>
      <c r="M5375" t="s">
        <v>152</v>
      </c>
      <c r="N5375" t="str">
        <f>"248030301413"</f>
        <v>248030301413</v>
      </c>
      <c r="O5375" t="str">
        <f>"469021200006082425"</f>
        <v>469021200006082425</v>
      </c>
    </row>
    <row r="5376" customFormat="1" spans="1:15">
      <c r="A5376">
        <v>6865</v>
      </c>
      <c r="B5376" t="s">
        <v>5720</v>
      </c>
      <c r="C5376" t="str">
        <f>"441422199604180545"</f>
        <v>441422199604180545</v>
      </c>
      <c r="D5376" t="str">
        <f>"248030104423"</f>
        <v>248030104423</v>
      </c>
      <c r="L5376">
        <v>6865</v>
      </c>
      <c r="M5376" t="s">
        <v>5720</v>
      </c>
      <c r="N5376" t="str">
        <f>"248030104423"</f>
        <v>248030104423</v>
      </c>
      <c r="O5376" t="str">
        <f>"441422199604180545"</f>
        <v>441422199604180545</v>
      </c>
    </row>
    <row r="5377" customFormat="1" spans="1:15">
      <c r="A5377">
        <v>6866</v>
      </c>
      <c r="B5377" t="s">
        <v>5721</v>
      </c>
      <c r="C5377" t="str">
        <f>"460028200107050824"</f>
        <v>460028200107050824</v>
      </c>
      <c r="D5377" t="str">
        <f>"248030301324"</f>
        <v>248030301324</v>
      </c>
      <c r="L5377">
        <v>6866</v>
      </c>
      <c r="M5377" t="s">
        <v>5721</v>
      </c>
      <c r="N5377" t="str">
        <f>"248030301324"</f>
        <v>248030301324</v>
      </c>
      <c r="O5377" t="str">
        <f>"460028200107050824"</f>
        <v>460028200107050824</v>
      </c>
    </row>
    <row r="5378" customFormat="1" spans="1:15">
      <c r="A5378">
        <v>6867</v>
      </c>
      <c r="B5378" t="s">
        <v>5722</v>
      </c>
      <c r="C5378" t="str">
        <f>"460027199807205661"</f>
        <v>460027199807205661</v>
      </c>
      <c r="D5378" t="str">
        <f>"248030102206"</f>
        <v>248030102206</v>
      </c>
      <c r="L5378">
        <v>6867</v>
      </c>
      <c r="M5378" t="s">
        <v>5722</v>
      </c>
      <c r="N5378" t="str">
        <f>"248030102206"</f>
        <v>248030102206</v>
      </c>
      <c r="O5378" t="str">
        <f>"460027199807205661"</f>
        <v>460027199807205661</v>
      </c>
    </row>
    <row r="5379" customFormat="1" spans="1:15">
      <c r="A5379">
        <v>6869</v>
      </c>
      <c r="B5379" t="s">
        <v>5723</v>
      </c>
      <c r="C5379" t="str">
        <f>"460004200107086420"</f>
        <v>460004200107086420</v>
      </c>
      <c r="D5379" t="str">
        <f>"248030101630"</f>
        <v>248030101630</v>
      </c>
      <c r="L5379">
        <v>6869</v>
      </c>
      <c r="M5379" t="s">
        <v>5723</v>
      </c>
      <c r="N5379" t="str">
        <f>"248030101630"</f>
        <v>248030101630</v>
      </c>
      <c r="O5379" t="str">
        <f>"460004200107086420"</f>
        <v>460004200107086420</v>
      </c>
    </row>
    <row r="5380" customFormat="1" spans="1:15">
      <c r="A5380">
        <v>6870</v>
      </c>
      <c r="B5380" t="s">
        <v>5724</v>
      </c>
      <c r="C5380" t="str">
        <f>"46900320020302933X"</f>
        <v>46900320020302933X</v>
      </c>
      <c r="D5380" t="str">
        <f>"248030503021"</f>
        <v>248030503021</v>
      </c>
      <c r="L5380">
        <v>6870</v>
      </c>
      <c r="M5380" t="s">
        <v>5724</v>
      </c>
      <c r="N5380" t="str">
        <f>"248030503021"</f>
        <v>248030503021</v>
      </c>
      <c r="O5380" t="str">
        <f>"46900320020302933X"</f>
        <v>46900320020302933X</v>
      </c>
    </row>
    <row r="5381" customFormat="1" spans="1:15">
      <c r="A5381">
        <v>6871</v>
      </c>
      <c r="B5381" t="s">
        <v>5725</v>
      </c>
      <c r="C5381" t="str">
        <f>"460033199501094820"</f>
        <v>460033199501094820</v>
      </c>
      <c r="L5381">
        <v>6871</v>
      </c>
      <c r="M5381" t="s">
        <v>5725</v>
      </c>
      <c r="O5381" t="str">
        <f>"460033199501094820"</f>
        <v>460033199501094820</v>
      </c>
    </row>
    <row r="5382" customFormat="1" spans="1:15">
      <c r="A5382">
        <v>6872</v>
      </c>
      <c r="B5382" t="s">
        <v>5726</v>
      </c>
      <c r="C5382" t="str">
        <f>"460005199806200748"</f>
        <v>460005199806200748</v>
      </c>
      <c r="D5382" t="str">
        <f>"248030300127"</f>
        <v>248030300127</v>
      </c>
      <c r="L5382">
        <v>6872</v>
      </c>
      <c r="M5382" t="s">
        <v>5726</v>
      </c>
      <c r="N5382" t="str">
        <f>"248030300127"</f>
        <v>248030300127</v>
      </c>
      <c r="O5382" t="str">
        <f>"460005199806200748"</f>
        <v>460005199806200748</v>
      </c>
    </row>
    <row r="5383" customFormat="1" spans="1:15">
      <c r="A5383">
        <v>6873</v>
      </c>
      <c r="B5383" t="s">
        <v>5727</v>
      </c>
      <c r="C5383" t="str">
        <f>"46000319890704162X"</f>
        <v>46000319890704162X</v>
      </c>
      <c r="D5383" t="str">
        <f>"248030500206"</f>
        <v>248030500206</v>
      </c>
      <c r="L5383">
        <v>6873</v>
      </c>
      <c r="M5383" t="s">
        <v>5727</v>
      </c>
      <c r="N5383" t="str">
        <f>"248030500206"</f>
        <v>248030500206</v>
      </c>
      <c r="O5383" t="str">
        <f>"46000319890704162X"</f>
        <v>46000319890704162X</v>
      </c>
    </row>
    <row r="5384" customFormat="1" spans="1:15">
      <c r="A5384">
        <v>6874</v>
      </c>
      <c r="B5384" t="s">
        <v>5728</v>
      </c>
      <c r="C5384" t="str">
        <f>"460027199511080417"</f>
        <v>460027199511080417</v>
      </c>
      <c r="D5384" t="str">
        <f>"248030201222"</f>
        <v>248030201222</v>
      </c>
      <c r="L5384">
        <v>6874</v>
      </c>
      <c r="M5384" t="s">
        <v>5728</v>
      </c>
      <c r="N5384" t="str">
        <f>"248030201222"</f>
        <v>248030201222</v>
      </c>
      <c r="O5384" t="str">
        <f>"460027199511080417"</f>
        <v>460027199511080417</v>
      </c>
    </row>
    <row r="5385" customFormat="1" spans="1:15">
      <c r="A5385">
        <v>6875</v>
      </c>
      <c r="B5385" t="s">
        <v>5729</v>
      </c>
      <c r="C5385" t="str">
        <f>"411381198810190845"</f>
        <v>411381198810190845</v>
      </c>
      <c r="L5385">
        <v>6875</v>
      </c>
      <c r="M5385" t="s">
        <v>5729</v>
      </c>
      <c r="O5385" t="str">
        <f>"411381198810190845"</f>
        <v>411381198810190845</v>
      </c>
    </row>
    <row r="5386" customFormat="1" spans="1:15">
      <c r="A5386">
        <v>6876</v>
      </c>
      <c r="B5386" t="s">
        <v>673</v>
      </c>
      <c r="C5386" t="str">
        <f>"230222198609270026"</f>
        <v>230222198609270026</v>
      </c>
      <c r="D5386" t="str">
        <f>"248030301914"</f>
        <v>248030301914</v>
      </c>
      <c r="L5386">
        <v>6876</v>
      </c>
      <c r="M5386" t="s">
        <v>673</v>
      </c>
      <c r="N5386" t="str">
        <f>"248030301914"</f>
        <v>248030301914</v>
      </c>
      <c r="O5386" t="str">
        <f>"230222198609270026"</f>
        <v>230222198609270026</v>
      </c>
    </row>
    <row r="5387" customFormat="1" spans="1:15">
      <c r="A5387">
        <v>6877</v>
      </c>
      <c r="B5387" t="s">
        <v>5730</v>
      </c>
      <c r="C5387" t="str">
        <f>"430624199710160020"</f>
        <v>430624199710160020</v>
      </c>
      <c r="D5387" t="str">
        <f>"248030203026"</f>
        <v>248030203026</v>
      </c>
      <c r="L5387">
        <v>6877</v>
      </c>
      <c r="M5387" t="s">
        <v>5730</v>
      </c>
      <c r="N5387" t="str">
        <f>"248030203026"</f>
        <v>248030203026</v>
      </c>
      <c r="O5387" t="str">
        <f>"430624199710160020"</f>
        <v>430624199710160020</v>
      </c>
    </row>
    <row r="5388" customFormat="1" spans="1:15">
      <c r="A5388">
        <v>6878</v>
      </c>
      <c r="B5388" t="s">
        <v>5731</v>
      </c>
      <c r="C5388" t="str">
        <f>"460033199009056603"</f>
        <v>460033199009056603</v>
      </c>
      <c r="D5388" t="str">
        <f>"248030301725"</f>
        <v>248030301725</v>
      </c>
      <c r="L5388">
        <v>6878</v>
      </c>
      <c r="M5388" t="s">
        <v>5731</v>
      </c>
      <c r="N5388" t="str">
        <f>"248030301725"</f>
        <v>248030301725</v>
      </c>
      <c r="O5388" t="str">
        <f>"460033199009056603"</f>
        <v>460033199009056603</v>
      </c>
    </row>
    <row r="5389" customFormat="1" spans="1:15">
      <c r="A5389">
        <v>6880</v>
      </c>
      <c r="B5389" t="s">
        <v>5732</v>
      </c>
      <c r="C5389" t="str">
        <f>"450621200107121748"</f>
        <v>450621200107121748</v>
      </c>
      <c r="D5389" t="str">
        <f>"248030203713"</f>
        <v>248030203713</v>
      </c>
      <c r="L5389">
        <v>6880</v>
      </c>
      <c r="M5389" t="s">
        <v>5732</v>
      </c>
      <c r="N5389" t="str">
        <f>"248030203713"</f>
        <v>248030203713</v>
      </c>
      <c r="O5389" t="str">
        <f>"450621200107121748"</f>
        <v>450621200107121748</v>
      </c>
    </row>
    <row r="5390" customFormat="1" spans="1:15">
      <c r="A5390">
        <v>6882</v>
      </c>
      <c r="B5390" t="s">
        <v>5733</v>
      </c>
      <c r="C5390" t="str">
        <f>"46002819960405162X"</f>
        <v>46002819960405162X</v>
      </c>
      <c r="D5390" t="str">
        <f>"248030100724"</f>
        <v>248030100724</v>
      </c>
      <c r="L5390">
        <v>6882</v>
      </c>
      <c r="M5390" t="s">
        <v>5733</v>
      </c>
      <c r="N5390" t="str">
        <f>"248030100724"</f>
        <v>248030100724</v>
      </c>
      <c r="O5390" t="str">
        <f>"46002819960405162X"</f>
        <v>46002819960405162X</v>
      </c>
    </row>
    <row r="5391" customFormat="1" spans="1:15">
      <c r="A5391">
        <v>6883</v>
      </c>
      <c r="B5391" t="s">
        <v>5734</v>
      </c>
      <c r="C5391" t="str">
        <f>"440882199910098627"</f>
        <v>440882199910098627</v>
      </c>
      <c r="D5391" t="str">
        <f>"248030200524"</f>
        <v>248030200524</v>
      </c>
      <c r="L5391">
        <v>6883</v>
      </c>
      <c r="M5391" t="s">
        <v>5734</v>
      </c>
      <c r="N5391" t="str">
        <f>"248030200524"</f>
        <v>248030200524</v>
      </c>
      <c r="O5391" t="str">
        <f>"440882199910098627"</f>
        <v>440882199910098627</v>
      </c>
    </row>
    <row r="5392" customFormat="1" spans="1:15">
      <c r="A5392">
        <v>6884</v>
      </c>
      <c r="B5392" t="s">
        <v>5735</v>
      </c>
      <c r="C5392" t="str">
        <f>"460003200012017629"</f>
        <v>460003200012017629</v>
      </c>
      <c r="D5392" t="str">
        <f>"248030504116"</f>
        <v>248030504116</v>
      </c>
      <c r="L5392">
        <v>6884</v>
      </c>
      <c r="M5392" t="s">
        <v>5735</v>
      </c>
      <c r="N5392" t="str">
        <f>"248030504116"</f>
        <v>248030504116</v>
      </c>
      <c r="O5392" t="str">
        <f>"460003200012017629"</f>
        <v>460003200012017629</v>
      </c>
    </row>
    <row r="5393" customFormat="1" spans="1:15">
      <c r="A5393">
        <v>6885</v>
      </c>
      <c r="B5393" t="s">
        <v>5736</v>
      </c>
      <c r="C5393" t="str">
        <f>"460033199906274854"</f>
        <v>460033199906274854</v>
      </c>
      <c r="D5393" t="str">
        <f>"248030202802"</f>
        <v>248030202802</v>
      </c>
      <c r="L5393">
        <v>6885</v>
      </c>
      <c r="M5393" t="s">
        <v>5736</v>
      </c>
      <c r="N5393" t="str">
        <f>"248030202802"</f>
        <v>248030202802</v>
      </c>
      <c r="O5393" t="str">
        <f>"460033199906274854"</f>
        <v>460033199906274854</v>
      </c>
    </row>
    <row r="5394" customFormat="1" spans="1:15">
      <c r="A5394">
        <v>6886</v>
      </c>
      <c r="B5394" t="s">
        <v>4875</v>
      </c>
      <c r="C5394" t="str">
        <f>"460002199811223427"</f>
        <v>460002199811223427</v>
      </c>
      <c r="D5394" t="str">
        <f>"248030104301"</f>
        <v>248030104301</v>
      </c>
      <c r="L5394">
        <v>6886</v>
      </c>
      <c r="M5394" t="s">
        <v>4875</v>
      </c>
      <c r="N5394" t="str">
        <f>"248030104301"</f>
        <v>248030104301</v>
      </c>
      <c r="O5394" t="str">
        <f>"460002199811223427"</f>
        <v>460002199811223427</v>
      </c>
    </row>
    <row r="5395" customFormat="1" spans="1:15">
      <c r="A5395">
        <v>6887</v>
      </c>
      <c r="B5395" t="s">
        <v>5737</v>
      </c>
      <c r="C5395" t="str">
        <f>"511023199002145526"</f>
        <v>511023199002145526</v>
      </c>
      <c r="L5395">
        <v>6887</v>
      </c>
      <c r="M5395" t="s">
        <v>5737</v>
      </c>
      <c r="O5395" t="str">
        <f>"511023199002145526"</f>
        <v>511023199002145526</v>
      </c>
    </row>
    <row r="5396" customFormat="1" spans="1:15">
      <c r="A5396">
        <v>6888</v>
      </c>
      <c r="B5396" t="s">
        <v>5738</v>
      </c>
      <c r="C5396" t="str">
        <f>"460027199807156628"</f>
        <v>460027199807156628</v>
      </c>
      <c r="D5396" t="str">
        <f>"248030101419"</f>
        <v>248030101419</v>
      </c>
      <c r="L5396">
        <v>6888</v>
      </c>
      <c r="M5396" t="s">
        <v>5738</v>
      </c>
      <c r="N5396" t="str">
        <f>"248030101419"</f>
        <v>248030101419</v>
      </c>
      <c r="O5396" t="str">
        <f>"460027199807156628"</f>
        <v>460027199807156628</v>
      </c>
    </row>
    <row r="5397" customFormat="1" spans="1:15">
      <c r="A5397">
        <v>6890</v>
      </c>
      <c r="B5397" t="s">
        <v>5739</v>
      </c>
      <c r="C5397" t="str">
        <f>"46002819880127684X"</f>
        <v>46002819880127684X</v>
      </c>
      <c r="D5397" t="str">
        <f>"248030200702"</f>
        <v>248030200702</v>
      </c>
      <c r="L5397">
        <v>6890</v>
      </c>
      <c r="M5397" t="s">
        <v>5739</v>
      </c>
      <c r="N5397" t="str">
        <f>"248030200702"</f>
        <v>248030200702</v>
      </c>
      <c r="O5397" t="str">
        <f>"46002819880127684X"</f>
        <v>46002819880127684X</v>
      </c>
    </row>
    <row r="5398" customFormat="1" spans="1:15">
      <c r="A5398">
        <v>6891</v>
      </c>
      <c r="B5398" t="s">
        <v>5740</v>
      </c>
      <c r="C5398" t="str">
        <f>"460028200111176040"</f>
        <v>460028200111176040</v>
      </c>
      <c r="D5398" t="str">
        <f>"248030502512"</f>
        <v>248030502512</v>
      </c>
      <c r="L5398">
        <v>6891</v>
      </c>
      <c r="M5398" t="s">
        <v>5740</v>
      </c>
      <c r="N5398" t="str">
        <f>"248030502512"</f>
        <v>248030502512</v>
      </c>
      <c r="O5398" t="str">
        <f>"460028200111176040"</f>
        <v>460028200111176040</v>
      </c>
    </row>
    <row r="5399" customFormat="1" spans="1:15">
      <c r="A5399">
        <v>6892</v>
      </c>
      <c r="B5399" t="s">
        <v>5741</v>
      </c>
      <c r="C5399" t="str">
        <f>"460004199801190046"</f>
        <v>460004199801190046</v>
      </c>
      <c r="D5399" t="str">
        <f>"248030300612"</f>
        <v>248030300612</v>
      </c>
      <c r="L5399">
        <v>6892</v>
      </c>
      <c r="M5399" t="s">
        <v>5741</v>
      </c>
      <c r="N5399" t="str">
        <f>"248030300612"</f>
        <v>248030300612</v>
      </c>
      <c r="O5399" t="str">
        <f>"460004199801190046"</f>
        <v>460004199801190046</v>
      </c>
    </row>
    <row r="5400" customFormat="1" spans="1:15">
      <c r="A5400">
        <v>6893</v>
      </c>
      <c r="B5400" t="s">
        <v>195</v>
      </c>
      <c r="C5400" t="str">
        <f>"460200200111125520"</f>
        <v>460200200111125520</v>
      </c>
      <c r="D5400" t="str">
        <f>"248030100918"</f>
        <v>248030100918</v>
      </c>
      <c r="L5400">
        <v>6893</v>
      </c>
      <c r="M5400" t="s">
        <v>195</v>
      </c>
      <c r="N5400" t="str">
        <f>"248030100918"</f>
        <v>248030100918</v>
      </c>
      <c r="O5400" t="str">
        <f>"460200200111125520"</f>
        <v>460200200111125520</v>
      </c>
    </row>
    <row r="5401" customFormat="1" spans="1:15">
      <c r="A5401">
        <v>6894</v>
      </c>
      <c r="B5401" t="s">
        <v>5742</v>
      </c>
      <c r="C5401" t="str">
        <f>"460300200210170023"</f>
        <v>460300200210170023</v>
      </c>
      <c r="D5401" t="str">
        <f>"248030100125"</f>
        <v>248030100125</v>
      </c>
      <c r="L5401">
        <v>6894</v>
      </c>
      <c r="M5401" t="s">
        <v>5742</v>
      </c>
      <c r="N5401" t="str">
        <f>"248030100125"</f>
        <v>248030100125</v>
      </c>
      <c r="O5401" t="str">
        <f>"460300200210170023"</f>
        <v>460300200210170023</v>
      </c>
    </row>
    <row r="5402" customFormat="1" spans="1:15">
      <c r="A5402">
        <v>6895</v>
      </c>
      <c r="B5402" t="s">
        <v>2036</v>
      </c>
      <c r="C5402" t="str">
        <f>"460004199809064626"</f>
        <v>460004199809064626</v>
      </c>
      <c r="D5402" t="str">
        <f>"248030500423"</f>
        <v>248030500423</v>
      </c>
      <c r="L5402">
        <v>6895</v>
      </c>
      <c r="M5402" t="s">
        <v>2036</v>
      </c>
      <c r="N5402" t="str">
        <f>"248030500423"</f>
        <v>248030500423</v>
      </c>
      <c r="O5402" t="str">
        <f>"460004199809064626"</f>
        <v>460004199809064626</v>
      </c>
    </row>
    <row r="5403" customFormat="1" spans="1:15">
      <c r="A5403">
        <v>6896</v>
      </c>
      <c r="B5403" t="s">
        <v>5743</v>
      </c>
      <c r="C5403" t="str">
        <f>"460004199709270027"</f>
        <v>460004199709270027</v>
      </c>
      <c r="D5403" t="str">
        <f>"248030502619"</f>
        <v>248030502619</v>
      </c>
      <c r="L5403">
        <v>6896</v>
      </c>
      <c r="M5403" t="s">
        <v>5743</v>
      </c>
      <c r="N5403" t="str">
        <f>"248030502619"</f>
        <v>248030502619</v>
      </c>
      <c r="O5403" t="str">
        <f>"460004199709270027"</f>
        <v>460004199709270027</v>
      </c>
    </row>
    <row r="5404" customFormat="1" spans="1:15">
      <c r="A5404">
        <v>6897</v>
      </c>
      <c r="B5404" t="s">
        <v>4362</v>
      </c>
      <c r="C5404" t="str">
        <f>"460102199301273024"</f>
        <v>460102199301273024</v>
      </c>
      <c r="L5404">
        <v>6897</v>
      </c>
      <c r="M5404" t="s">
        <v>4362</v>
      </c>
      <c r="O5404" t="str">
        <f>"460102199301273024"</f>
        <v>460102199301273024</v>
      </c>
    </row>
    <row r="5405" customFormat="1" spans="1:15">
      <c r="A5405">
        <v>6898</v>
      </c>
      <c r="B5405" t="s">
        <v>5714</v>
      </c>
      <c r="C5405" t="str">
        <f>"460026199901070920"</f>
        <v>460026199901070920</v>
      </c>
      <c r="D5405" t="str">
        <f>"248030203310"</f>
        <v>248030203310</v>
      </c>
      <c r="L5405">
        <v>6898</v>
      </c>
      <c r="M5405" t="s">
        <v>5714</v>
      </c>
      <c r="N5405" t="str">
        <f>"248030203310"</f>
        <v>248030203310</v>
      </c>
      <c r="O5405" t="str">
        <f>"460026199901070920"</f>
        <v>460026199901070920</v>
      </c>
    </row>
    <row r="5406" customFormat="1" spans="1:15">
      <c r="A5406">
        <v>6899</v>
      </c>
      <c r="B5406" t="s">
        <v>5744</v>
      </c>
      <c r="C5406" t="str">
        <f>"460004199811263827"</f>
        <v>460004199811263827</v>
      </c>
      <c r="L5406">
        <v>6899</v>
      </c>
      <c r="M5406" t="s">
        <v>5744</v>
      </c>
      <c r="O5406" t="str">
        <f>"460004199811263827"</f>
        <v>460004199811263827</v>
      </c>
    </row>
    <row r="5407" customFormat="1" spans="1:15">
      <c r="A5407">
        <v>6900</v>
      </c>
      <c r="B5407" t="s">
        <v>5745</v>
      </c>
      <c r="C5407" t="str">
        <f>"230602198610274020"</f>
        <v>230602198610274020</v>
      </c>
      <c r="L5407">
        <v>6900</v>
      </c>
      <c r="M5407" t="s">
        <v>5745</v>
      </c>
      <c r="O5407" t="str">
        <f>"230602198610274020"</f>
        <v>230602198610274020</v>
      </c>
    </row>
    <row r="5408" customFormat="1" spans="1:15">
      <c r="A5408">
        <v>6901</v>
      </c>
      <c r="B5408" t="s">
        <v>5746</v>
      </c>
      <c r="C5408" t="str">
        <f>"460022199306153013"</f>
        <v>460022199306153013</v>
      </c>
      <c r="D5408" t="str">
        <f>"248030201302"</f>
        <v>248030201302</v>
      </c>
      <c r="L5408">
        <v>6901</v>
      </c>
      <c r="M5408" t="s">
        <v>5746</v>
      </c>
      <c r="N5408" t="str">
        <f>"248030201302"</f>
        <v>248030201302</v>
      </c>
      <c r="O5408" t="str">
        <f>"460022199306153013"</f>
        <v>460022199306153013</v>
      </c>
    </row>
    <row r="5409" customFormat="1" spans="1:15">
      <c r="A5409">
        <v>6902</v>
      </c>
      <c r="B5409" t="s">
        <v>5747</v>
      </c>
      <c r="C5409" t="str">
        <f>"460003199903214225"</f>
        <v>460003199903214225</v>
      </c>
      <c r="D5409" t="str">
        <f>"248030100820"</f>
        <v>248030100820</v>
      </c>
      <c r="L5409">
        <v>6902</v>
      </c>
      <c r="M5409" t="s">
        <v>5747</v>
      </c>
      <c r="N5409" t="str">
        <f>"248030100820"</f>
        <v>248030100820</v>
      </c>
      <c r="O5409" t="str">
        <f>"460003199903214225"</f>
        <v>460003199903214225</v>
      </c>
    </row>
    <row r="5410" customFormat="1" spans="1:15">
      <c r="A5410">
        <v>6903</v>
      </c>
      <c r="B5410" t="s">
        <v>5748</v>
      </c>
      <c r="C5410" t="str">
        <f>"46002820020531722X"</f>
        <v>46002820020531722X</v>
      </c>
      <c r="D5410" t="str">
        <f>"248030103827"</f>
        <v>248030103827</v>
      </c>
      <c r="L5410">
        <v>6903</v>
      </c>
      <c r="M5410" t="s">
        <v>5748</v>
      </c>
      <c r="N5410" t="str">
        <f>"248030103827"</f>
        <v>248030103827</v>
      </c>
      <c r="O5410" t="str">
        <f>"46002820020531722X"</f>
        <v>46002820020531722X</v>
      </c>
    </row>
    <row r="5411" customFormat="1" spans="1:15">
      <c r="A5411">
        <v>6905</v>
      </c>
      <c r="B5411" t="s">
        <v>5749</v>
      </c>
      <c r="C5411" t="str">
        <f>"622201198907310324"</f>
        <v>622201198907310324</v>
      </c>
      <c r="D5411" t="str">
        <f>"248030100705"</f>
        <v>248030100705</v>
      </c>
      <c r="L5411">
        <v>6905</v>
      </c>
      <c r="M5411" t="s">
        <v>5749</v>
      </c>
      <c r="N5411" t="str">
        <f>"248030100705"</f>
        <v>248030100705</v>
      </c>
      <c r="O5411" t="str">
        <f>"622201198907310324"</f>
        <v>622201198907310324</v>
      </c>
    </row>
    <row r="5412" customFormat="1" spans="1:15">
      <c r="A5412">
        <v>6906</v>
      </c>
      <c r="B5412" t="s">
        <v>5750</v>
      </c>
      <c r="C5412" t="str">
        <f>"460007199810044971"</f>
        <v>460007199810044971</v>
      </c>
      <c r="L5412">
        <v>6906</v>
      </c>
      <c r="M5412" t="s">
        <v>5750</v>
      </c>
      <c r="O5412" t="str">
        <f>"460007199810044971"</f>
        <v>460007199810044971</v>
      </c>
    </row>
    <row r="5413" customFormat="1" spans="1:15">
      <c r="A5413">
        <v>6907</v>
      </c>
      <c r="B5413" t="s">
        <v>5751</v>
      </c>
      <c r="C5413" t="str">
        <f>"460004199801014624"</f>
        <v>460004199801014624</v>
      </c>
      <c r="D5413" t="str">
        <f>"248030101504"</f>
        <v>248030101504</v>
      </c>
      <c r="L5413">
        <v>6907</v>
      </c>
      <c r="M5413" t="s">
        <v>5751</v>
      </c>
      <c r="N5413" t="str">
        <f>"248030101504"</f>
        <v>248030101504</v>
      </c>
      <c r="O5413" t="str">
        <f>"460004199801014624"</f>
        <v>460004199801014624</v>
      </c>
    </row>
    <row r="5414" customFormat="1" spans="1:15">
      <c r="A5414">
        <v>6908</v>
      </c>
      <c r="B5414" t="s">
        <v>5752</v>
      </c>
      <c r="C5414" t="str">
        <f>"460104200204060025"</f>
        <v>460104200204060025</v>
      </c>
      <c r="D5414" t="str">
        <f>"248030302507"</f>
        <v>248030302507</v>
      </c>
      <c r="L5414">
        <v>6908</v>
      </c>
      <c r="M5414" t="s">
        <v>5752</v>
      </c>
      <c r="N5414" t="str">
        <f>"248030302507"</f>
        <v>248030302507</v>
      </c>
      <c r="O5414" t="str">
        <f>"460104200204060025"</f>
        <v>460104200204060025</v>
      </c>
    </row>
    <row r="5415" customFormat="1" spans="1:15">
      <c r="A5415">
        <v>6910</v>
      </c>
      <c r="B5415" t="s">
        <v>5753</v>
      </c>
      <c r="C5415" t="str">
        <f>"460104199608250348"</f>
        <v>460104199608250348</v>
      </c>
      <c r="D5415" t="str">
        <f>"248030402921"</f>
        <v>248030402921</v>
      </c>
      <c r="L5415">
        <v>6910</v>
      </c>
      <c r="M5415" t="s">
        <v>5753</v>
      </c>
      <c r="N5415" t="str">
        <f>"248030402921"</f>
        <v>248030402921</v>
      </c>
      <c r="O5415" t="str">
        <f>"460104199608250348"</f>
        <v>460104199608250348</v>
      </c>
    </row>
    <row r="5416" customFormat="1" spans="1:15">
      <c r="A5416">
        <v>6913</v>
      </c>
      <c r="B5416" t="s">
        <v>5754</v>
      </c>
      <c r="C5416" t="str">
        <f>"220421199601203723"</f>
        <v>220421199601203723</v>
      </c>
      <c r="D5416" t="str">
        <f>"248030104514"</f>
        <v>248030104514</v>
      </c>
      <c r="L5416">
        <v>6913</v>
      </c>
      <c r="M5416" t="s">
        <v>5754</v>
      </c>
      <c r="N5416" t="str">
        <f>"248030104514"</f>
        <v>248030104514</v>
      </c>
      <c r="O5416" t="str">
        <f>"220421199601203723"</f>
        <v>220421199601203723</v>
      </c>
    </row>
    <row r="5417" customFormat="1" spans="1:15">
      <c r="A5417">
        <v>6914</v>
      </c>
      <c r="B5417" t="s">
        <v>5755</v>
      </c>
      <c r="C5417" t="str">
        <f>"460025199712170029"</f>
        <v>460025199712170029</v>
      </c>
      <c r="D5417" t="str">
        <f>"248030104311"</f>
        <v>248030104311</v>
      </c>
      <c r="L5417">
        <v>6914</v>
      </c>
      <c r="M5417" t="s">
        <v>5755</v>
      </c>
      <c r="N5417" t="str">
        <f>"248030104311"</f>
        <v>248030104311</v>
      </c>
      <c r="O5417" t="str">
        <f>"460025199712170029"</f>
        <v>460025199712170029</v>
      </c>
    </row>
    <row r="5418" customFormat="1" spans="1:15">
      <c r="A5418">
        <v>6915</v>
      </c>
      <c r="B5418" t="s">
        <v>5756</v>
      </c>
      <c r="C5418" t="str">
        <f>"469005199707061218"</f>
        <v>469005199707061218</v>
      </c>
      <c r="D5418" t="str">
        <f>"248030301720"</f>
        <v>248030301720</v>
      </c>
      <c r="L5418">
        <v>6915</v>
      </c>
      <c r="M5418" t="s">
        <v>5756</v>
      </c>
      <c r="N5418" t="str">
        <f>"248030301720"</f>
        <v>248030301720</v>
      </c>
      <c r="O5418" t="str">
        <f>"469005199707061218"</f>
        <v>469005199707061218</v>
      </c>
    </row>
    <row r="5419" customFormat="1" spans="1:15">
      <c r="A5419">
        <v>6916</v>
      </c>
      <c r="B5419" t="s">
        <v>5757</v>
      </c>
      <c r="C5419" t="str">
        <f>"460003200211194425"</f>
        <v>460003200211194425</v>
      </c>
      <c r="D5419" t="str">
        <f>"248030102716"</f>
        <v>248030102716</v>
      </c>
      <c r="L5419">
        <v>6916</v>
      </c>
      <c r="M5419" t="s">
        <v>5757</v>
      </c>
      <c r="N5419" t="str">
        <f>"248030102716"</f>
        <v>248030102716</v>
      </c>
      <c r="O5419" t="str">
        <f>"460003200211194425"</f>
        <v>460003200211194425</v>
      </c>
    </row>
    <row r="5420" customFormat="1" spans="1:15">
      <c r="A5420">
        <v>6917</v>
      </c>
      <c r="B5420" t="s">
        <v>5758</v>
      </c>
      <c r="C5420" t="str">
        <f>"469003199509096724"</f>
        <v>469003199509096724</v>
      </c>
      <c r="D5420" t="str">
        <f>"248030403912"</f>
        <v>248030403912</v>
      </c>
      <c r="L5420">
        <v>6917</v>
      </c>
      <c r="M5420" t="s">
        <v>5758</v>
      </c>
      <c r="N5420" t="str">
        <f>"248030403912"</f>
        <v>248030403912</v>
      </c>
      <c r="O5420" t="str">
        <f>"469003199509096724"</f>
        <v>469003199509096724</v>
      </c>
    </row>
    <row r="5421" customFormat="1" spans="1:15">
      <c r="A5421">
        <v>6918</v>
      </c>
      <c r="B5421" t="s">
        <v>5759</v>
      </c>
      <c r="C5421" t="str">
        <f>"450923199405078526"</f>
        <v>450923199405078526</v>
      </c>
      <c r="D5421" t="str">
        <f>"248030104302"</f>
        <v>248030104302</v>
      </c>
      <c r="L5421">
        <v>6918</v>
      </c>
      <c r="M5421" t="s">
        <v>5759</v>
      </c>
      <c r="N5421" t="str">
        <f>"248030104302"</f>
        <v>248030104302</v>
      </c>
      <c r="O5421" t="str">
        <f>"450923199405078526"</f>
        <v>450923199405078526</v>
      </c>
    </row>
    <row r="5422" customFormat="1" spans="1:15">
      <c r="A5422">
        <v>6919</v>
      </c>
      <c r="B5422" t="s">
        <v>745</v>
      </c>
      <c r="C5422" t="str">
        <f>"460027199203035120"</f>
        <v>460027199203035120</v>
      </c>
      <c r="D5422" t="str">
        <f>"248030402804"</f>
        <v>248030402804</v>
      </c>
      <c r="L5422">
        <v>6919</v>
      </c>
      <c r="M5422" t="s">
        <v>745</v>
      </c>
      <c r="N5422" t="str">
        <f>"248030402804"</f>
        <v>248030402804</v>
      </c>
      <c r="O5422" t="str">
        <f>"460027199203035120"</f>
        <v>460027199203035120</v>
      </c>
    </row>
    <row r="5423" customFormat="1" spans="1:15">
      <c r="A5423">
        <v>6920</v>
      </c>
      <c r="B5423" t="s">
        <v>5760</v>
      </c>
      <c r="C5423" t="str">
        <f>"469024200103160826"</f>
        <v>469024200103160826</v>
      </c>
      <c r="L5423">
        <v>6920</v>
      </c>
      <c r="M5423" t="s">
        <v>5760</v>
      </c>
      <c r="O5423" t="str">
        <f>"469024200103160826"</f>
        <v>469024200103160826</v>
      </c>
    </row>
    <row r="5424" customFormat="1" spans="1:15">
      <c r="A5424">
        <v>6922</v>
      </c>
      <c r="B5424" t="s">
        <v>5761</v>
      </c>
      <c r="C5424" t="str">
        <f>"460033199510173221"</f>
        <v>460033199510173221</v>
      </c>
      <c r="D5424" t="str">
        <f>"248030500915"</f>
        <v>248030500915</v>
      </c>
      <c r="L5424">
        <v>6922</v>
      </c>
      <c r="M5424" t="s">
        <v>5761</v>
      </c>
      <c r="N5424" t="str">
        <f>"248030500915"</f>
        <v>248030500915</v>
      </c>
      <c r="O5424" t="str">
        <f>"460033199510173221"</f>
        <v>460033199510173221</v>
      </c>
    </row>
    <row r="5425" customFormat="1" spans="1:15">
      <c r="A5425">
        <v>6924</v>
      </c>
      <c r="B5425" t="s">
        <v>16</v>
      </c>
      <c r="C5425" t="str">
        <f>"46000419971208222X"</f>
        <v>46000419971208222X</v>
      </c>
      <c r="D5425" t="str">
        <f>"248030500518"</f>
        <v>248030500518</v>
      </c>
      <c r="L5425">
        <v>6924</v>
      </c>
      <c r="M5425" t="s">
        <v>16</v>
      </c>
      <c r="N5425" t="str">
        <f>"248030500518"</f>
        <v>248030500518</v>
      </c>
      <c r="O5425" t="str">
        <f>"46000419971208222X"</f>
        <v>46000419971208222X</v>
      </c>
    </row>
    <row r="5426" customFormat="1" spans="1:15">
      <c r="A5426">
        <v>6925</v>
      </c>
      <c r="B5426" t="s">
        <v>5762</v>
      </c>
      <c r="C5426" t="str">
        <f>"460005200001303227"</f>
        <v>460005200001303227</v>
      </c>
      <c r="D5426" t="str">
        <f>"248030503401"</f>
        <v>248030503401</v>
      </c>
      <c r="L5426">
        <v>6925</v>
      </c>
      <c r="M5426" t="s">
        <v>5762</v>
      </c>
      <c r="N5426" t="str">
        <f>"248030503401"</f>
        <v>248030503401</v>
      </c>
      <c r="O5426" t="str">
        <f>"460005200001303227"</f>
        <v>460005200001303227</v>
      </c>
    </row>
    <row r="5427" customFormat="1" spans="1:15">
      <c r="A5427">
        <v>6926</v>
      </c>
      <c r="B5427" t="s">
        <v>5763</v>
      </c>
      <c r="C5427" t="str">
        <f>"460033199411163589"</f>
        <v>460033199411163589</v>
      </c>
      <c r="D5427" t="str">
        <f>"248030101122"</f>
        <v>248030101122</v>
      </c>
      <c r="L5427">
        <v>6926</v>
      </c>
      <c r="M5427" t="s">
        <v>5763</v>
      </c>
      <c r="N5427" t="str">
        <f>"248030101122"</f>
        <v>248030101122</v>
      </c>
      <c r="O5427" t="str">
        <f>"460033199411163589"</f>
        <v>460033199411163589</v>
      </c>
    </row>
    <row r="5428" customFormat="1" spans="1:15">
      <c r="A5428">
        <v>6927</v>
      </c>
      <c r="B5428" t="s">
        <v>5764</v>
      </c>
      <c r="C5428" t="str">
        <f>"44528119961010156X"</f>
        <v>44528119961010156X</v>
      </c>
      <c r="D5428" t="str">
        <f>"248030401109"</f>
        <v>248030401109</v>
      </c>
      <c r="L5428">
        <v>6927</v>
      </c>
      <c r="M5428" t="s">
        <v>5764</v>
      </c>
      <c r="N5428" t="str">
        <f>"248030401109"</f>
        <v>248030401109</v>
      </c>
      <c r="O5428" t="str">
        <f>"44528119961010156X"</f>
        <v>44528119961010156X</v>
      </c>
    </row>
    <row r="5429" customFormat="1" spans="1:15">
      <c r="A5429">
        <v>6928</v>
      </c>
      <c r="B5429" t="s">
        <v>5765</v>
      </c>
      <c r="C5429" t="str">
        <f>"460007199512090427"</f>
        <v>460007199512090427</v>
      </c>
      <c r="L5429">
        <v>6928</v>
      </c>
      <c r="M5429" t="s">
        <v>5765</v>
      </c>
      <c r="O5429" t="str">
        <f>"460007199512090427"</f>
        <v>460007199512090427</v>
      </c>
    </row>
    <row r="5430" customFormat="1" spans="1:15">
      <c r="A5430">
        <v>6929</v>
      </c>
      <c r="B5430" t="s">
        <v>5766</v>
      </c>
      <c r="C5430" t="str">
        <f>"460007199109065379"</f>
        <v>460007199109065379</v>
      </c>
      <c r="L5430">
        <v>6929</v>
      </c>
      <c r="M5430" t="s">
        <v>5766</v>
      </c>
      <c r="O5430" t="str">
        <f>"460007199109065379"</f>
        <v>460007199109065379</v>
      </c>
    </row>
    <row r="5431" customFormat="1" spans="1:15">
      <c r="A5431">
        <v>6930</v>
      </c>
      <c r="B5431" t="s">
        <v>5767</v>
      </c>
      <c r="C5431" t="str">
        <f>"460103198612110021"</f>
        <v>460103198612110021</v>
      </c>
      <c r="D5431" t="str">
        <f>"248030501425"</f>
        <v>248030501425</v>
      </c>
      <c r="L5431">
        <v>6930</v>
      </c>
      <c r="M5431" t="s">
        <v>5767</v>
      </c>
      <c r="N5431" t="str">
        <f>"248030501425"</f>
        <v>248030501425</v>
      </c>
      <c r="O5431" t="str">
        <f>"460103198612110021"</f>
        <v>460103198612110021</v>
      </c>
    </row>
    <row r="5432" customFormat="1" spans="1:15">
      <c r="A5432">
        <v>6931</v>
      </c>
      <c r="B5432" t="s">
        <v>5768</v>
      </c>
      <c r="C5432" t="str">
        <f>"460006199304072025"</f>
        <v>460006199304072025</v>
      </c>
      <c r="L5432">
        <v>6931</v>
      </c>
      <c r="M5432" t="s">
        <v>5768</v>
      </c>
      <c r="O5432" t="str">
        <f>"460006199304072025"</f>
        <v>460006199304072025</v>
      </c>
    </row>
    <row r="5433" customFormat="1" spans="1:15">
      <c r="A5433">
        <v>6932</v>
      </c>
      <c r="B5433" t="s">
        <v>5769</v>
      </c>
      <c r="C5433" t="str">
        <f>"65230119940910032X"</f>
        <v>65230119940910032X</v>
      </c>
      <c r="D5433" t="str">
        <f>"248030403404"</f>
        <v>248030403404</v>
      </c>
      <c r="L5433">
        <v>6932</v>
      </c>
      <c r="M5433" t="s">
        <v>5769</v>
      </c>
      <c r="N5433" t="str">
        <f>"248030403404"</f>
        <v>248030403404</v>
      </c>
      <c r="O5433" t="str">
        <f>"65230119940910032X"</f>
        <v>65230119940910032X</v>
      </c>
    </row>
    <row r="5434" customFormat="1" spans="1:15">
      <c r="A5434">
        <v>6933</v>
      </c>
      <c r="B5434" t="s">
        <v>5770</v>
      </c>
      <c r="C5434" t="str">
        <f>"469027200203200046"</f>
        <v>469027200203200046</v>
      </c>
      <c r="D5434" t="str">
        <f>"248030103730"</f>
        <v>248030103730</v>
      </c>
      <c r="L5434">
        <v>6933</v>
      </c>
      <c r="M5434" t="s">
        <v>5770</v>
      </c>
      <c r="N5434" t="str">
        <f>"248030103730"</f>
        <v>248030103730</v>
      </c>
      <c r="O5434" t="str">
        <f>"469027200203200046"</f>
        <v>469027200203200046</v>
      </c>
    </row>
    <row r="5435" customFormat="1" spans="1:15">
      <c r="A5435">
        <v>6934</v>
      </c>
      <c r="B5435" t="s">
        <v>5771</v>
      </c>
      <c r="C5435" t="str">
        <f>"469024199207080024"</f>
        <v>469024199207080024</v>
      </c>
      <c r="D5435" t="str">
        <f>"248030403406"</f>
        <v>248030403406</v>
      </c>
      <c r="L5435">
        <v>6934</v>
      </c>
      <c r="M5435" t="s">
        <v>5771</v>
      </c>
      <c r="N5435" t="str">
        <f>"248030403406"</f>
        <v>248030403406</v>
      </c>
      <c r="O5435" t="str">
        <f>"469024199207080024"</f>
        <v>469024199207080024</v>
      </c>
    </row>
    <row r="5436" customFormat="1" spans="1:15">
      <c r="A5436">
        <v>6935</v>
      </c>
      <c r="B5436" t="s">
        <v>5772</v>
      </c>
      <c r="C5436" t="str">
        <f>"469005199612137814"</f>
        <v>469005199612137814</v>
      </c>
      <c r="D5436" t="str">
        <f>"248030201808"</f>
        <v>248030201808</v>
      </c>
      <c r="L5436">
        <v>6935</v>
      </c>
      <c r="M5436" t="s">
        <v>5772</v>
      </c>
      <c r="N5436" t="str">
        <f>"248030201808"</f>
        <v>248030201808</v>
      </c>
      <c r="O5436" t="str">
        <f>"469005199612137814"</f>
        <v>469005199612137814</v>
      </c>
    </row>
    <row r="5437" customFormat="1" spans="1:15">
      <c r="A5437">
        <v>6936</v>
      </c>
      <c r="B5437" t="s">
        <v>5773</v>
      </c>
      <c r="C5437" t="str">
        <f>"46010820021026322X"</f>
        <v>46010820021026322X</v>
      </c>
      <c r="D5437" t="str">
        <f>"248030502903"</f>
        <v>248030502903</v>
      </c>
      <c r="L5437">
        <v>6936</v>
      </c>
      <c r="M5437" t="s">
        <v>5773</v>
      </c>
      <c r="N5437" t="str">
        <f>"248030502903"</f>
        <v>248030502903</v>
      </c>
      <c r="O5437" t="str">
        <f>"46010820021026322X"</f>
        <v>46010820021026322X</v>
      </c>
    </row>
    <row r="5438" customFormat="1" spans="1:15">
      <c r="A5438">
        <v>6937</v>
      </c>
      <c r="B5438" t="s">
        <v>5774</v>
      </c>
      <c r="C5438" t="str">
        <f>"46000619950123402X"</f>
        <v>46000619950123402X</v>
      </c>
      <c r="L5438">
        <v>6937</v>
      </c>
      <c r="M5438" t="s">
        <v>5774</v>
      </c>
      <c r="O5438" t="str">
        <f>"46000619950123402X"</f>
        <v>46000619950123402X</v>
      </c>
    </row>
    <row r="5439" customFormat="1" spans="1:15">
      <c r="A5439">
        <v>6938</v>
      </c>
      <c r="B5439" t="s">
        <v>5775</v>
      </c>
      <c r="C5439" t="str">
        <f>"46002619971219211X"</f>
        <v>46002619971219211X</v>
      </c>
      <c r="D5439" t="str">
        <f>"248030301506"</f>
        <v>248030301506</v>
      </c>
      <c r="L5439">
        <v>6938</v>
      </c>
      <c r="M5439" t="s">
        <v>5775</v>
      </c>
      <c r="N5439" t="str">
        <f>"248030301506"</f>
        <v>248030301506</v>
      </c>
      <c r="O5439" t="str">
        <f>"46002619971219211X"</f>
        <v>46002619971219211X</v>
      </c>
    </row>
    <row r="5440" customFormat="1" spans="1:15">
      <c r="A5440">
        <v>6939</v>
      </c>
      <c r="B5440" t="s">
        <v>3133</v>
      </c>
      <c r="C5440" t="str">
        <f>"640203200006170066"</f>
        <v>640203200006170066</v>
      </c>
      <c r="D5440" t="str">
        <f>"248030202212"</f>
        <v>248030202212</v>
      </c>
      <c r="L5440">
        <v>6939</v>
      </c>
      <c r="M5440" t="s">
        <v>3133</v>
      </c>
      <c r="N5440" t="str">
        <f>"248030202212"</f>
        <v>248030202212</v>
      </c>
      <c r="O5440" t="str">
        <f>"640203200006170066"</f>
        <v>640203200006170066</v>
      </c>
    </row>
    <row r="5441" customFormat="1" spans="1:15">
      <c r="A5441">
        <v>6942</v>
      </c>
      <c r="B5441" t="s">
        <v>5776</v>
      </c>
      <c r="C5441" t="str">
        <f>"460103198808100327"</f>
        <v>460103198808100327</v>
      </c>
      <c r="D5441" t="str">
        <f>"248030301819"</f>
        <v>248030301819</v>
      </c>
      <c r="L5441">
        <v>6942</v>
      </c>
      <c r="M5441" t="s">
        <v>5776</v>
      </c>
      <c r="N5441" t="str">
        <f>"248030301819"</f>
        <v>248030301819</v>
      </c>
      <c r="O5441" t="str">
        <f>"460103198808100327"</f>
        <v>460103198808100327</v>
      </c>
    </row>
    <row r="5442" customFormat="1" spans="1:15">
      <c r="A5442">
        <v>6943</v>
      </c>
      <c r="B5442" t="s">
        <v>5777</v>
      </c>
      <c r="C5442" t="str">
        <f>"460033199303050384"</f>
        <v>460033199303050384</v>
      </c>
      <c r="D5442" t="str">
        <f>"248030503506"</f>
        <v>248030503506</v>
      </c>
      <c r="L5442">
        <v>6943</v>
      </c>
      <c r="M5442" t="s">
        <v>5777</v>
      </c>
      <c r="N5442" t="str">
        <f>"248030503506"</f>
        <v>248030503506</v>
      </c>
      <c r="O5442" t="str">
        <f>"460033199303050384"</f>
        <v>460033199303050384</v>
      </c>
    </row>
    <row r="5443" customFormat="1" spans="1:15">
      <c r="A5443">
        <v>6944</v>
      </c>
      <c r="B5443" t="s">
        <v>81</v>
      </c>
      <c r="C5443" t="str">
        <f>"460021199601174427"</f>
        <v>460021199601174427</v>
      </c>
      <c r="D5443" t="str">
        <f>"248030501122"</f>
        <v>248030501122</v>
      </c>
      <c r="L5443">
        <v>6944</v>
      </c>
      <c r="M5443" t="s">
        <v>81</v>
      </c>
      <c r="N5443" t="str">
        <f>"248030501122"</f>
        <v>248030501122</v>
      </c>
      <c r="O5443" t="str">
        <f>"460021199601174427"</f>
        <v>460021199601174427</v>
      </c>
    </row>
    <row r="5444" customFormat="1" spans="1:15">
      <c r="A5444">
        <v>6945</v>
      </c>
      <c r="B5444" t="s">
        <v>5778</v>
      </c>
      <c r="C5444" t="str">
        <f>"460031199205044447"</f>
        <v>460031199205044447</v>
      </c>
      <c r="D5444" t="str">
        <f>"248030102110"</f>
        <v>248030102110</v>
      </c>
      <c r="L5444">
        <v>6945</v>
      </c>
      <c r="M5444" t="s">
        <v>5778</v>
      </c>
      <c r="N5444" t="str">
        <f>"248030102110"</f>
        <v>248030102110</v>
      </c>
      <c r="O5444" t="str">
        <f>"460031199205044447"</f>
        <v>460031199205044447</v>
      </c>
    </row>
    <row r="5445" customFormat="1" spans="1:15">
      <c r="A5445">
        <v>6946</v>
      </c>
      <c r="B5445" t="s">
        <v>5779</v>
      </c>
      <c r="C5445" t="str">
        <f>"469003200106262420"</f>
        <v>469003200106262420</v>
      </c>
      <c r="L5445">
        <v>6946</v>
      </c>
      <c r="M5445" t="s">
        <v>5779</v>
      </c>
      <c r="O5445" t="str">
        <f>"469003200106262420"</f>
        <v>469003200106262420</v>
      </c>
    </row>
    <row r="5446" customFormat="1" spans="1:15">
      <c r="A5446">
        <v>6947</v>
      </c>
      <c r="B5446" t="s">
        <v>912</v>
      </c>
      <c r="C5446" t="str">
        <f>"460102198911251223"</f>
        <v>460102198911251223</v>
      </c>
      <c r="L5446">
        <v>6947</v>
      </c>
      <c r="M5446" t="s">
        <v>912</v>
      </c>
      <c r="O5446" t="str">
        <f>"460102198911251223"</f>
        <v>460102198911251223</v>
      </c>
    </row>
    <row r="5447" customFormat="1" spans="1:15">
      <c r="A5447">
        <v>6948</v>
      </c>
      <c r="B5447" t="s">
        <v>5780</v>
      </c>
      <c r="C5447" t="str">
        <f>"460007199310034363"</f>
        <v>460007199310034363</v>
      </c>
      <c r="D5447" t="str">
        <f>"248030302711"</f>
        <v>248030302711</v>
      </c>
      <c r="L5447">
        <v>6948</v>
      </c>
      <c r="M5447" t="s">
        <v>5780</v>
      </c>
      <c r="N5447" t="str">
        <f>"248030302711"</f>
        <v>248030302711</v>
      </c>
      <c r="O5447" t="str">
        <f>"460007199310034363"</f>
        <v>460007199310034363</v>
      </c>
    </row>
    <row r="5448" customFormat="1" spans="1:15">
      <c r="A5448">
        <v>6949</v>
      </c>
      <c r="B5448" t="s">
        <v>5781</v>
      </c>
      <c r="C5448" t="str">
        <f>"469003199706065628"</f>
        <v>469003199706065628</v>
      </c>
      <c r="D5448" t="str">
        <f>"248030301806"</f>
        <v>248030301806</v>
      </c>
      <c r="L5448">
        <v>6949</v>
      </c>
      <c r="M5448" t="s">
        <v>5781</v>
      </c>
      <c r="N5448" t="str">
        <f>"248030301806"</f>
        <v>248030301806</v>
      </c>
      <c r="O5448" t="str">
        <f>"469003199706065628"</f>
        <v>469003199706065628</v>
      </c>
    </row>
    <row r="5449" customFormat="1" spans="1:15">
      <c r="A5449">
        <v>6950</v>
      </c>
      <c r="B5449" t="s">
        <v>5782</v>
      </c>
      <c r="C5449" t="str">
        <f>"460035199510011524"</f>
        <v>460035199510011524</v>
      </c>
      <c r="D5449" t="str">
        <f>"248030200613"</f>
        <v>248030200613</v>
      </c>
      <c r="L5449">
        <v>6950</v>
      </c>
      <c r="M5449" t="s">
        <v>5782</v>
      </c>
      <c r="N5449" t="str">
        <f>"248030200613"</f>
        <v>248030200613</v>
      </c>
      <c r="O5449" t="str">
        <f>"460035199510011524"</f>
        <v>460035199510011524</v>
      </c>
    </row>
    <row r="5450" customFormat="1" spans="1:15">
      <c r="A5450">
        <v>6951</v>
      </c>
      <c r="B5450" t="s">
        <v>5783</v>
      </c>
      <c r="C5450" t="str">
        <f>"469007200303064365"</f>
        <v>469007200303064365</v>
      </c>
      <c r="D5450" t="str">
        <f>"248030103203"</f>
        <v>248030103203</v>
      </c>
      <c r="L5450">
        <v>6951</v>
      </c>
      <c r="M5450" t="s">
        <v>5783</v>
      </c>
      <c r="N5450" t="str">
        <f>"248030103203"</f>
        <v>248030103203</v>
      </c>
      <c r="O5450" t="str">
        <f>"469007200303064365"</f>
        <v>469007200303064365</v>
      </c>
    </row>
    <row r="5451" customFormat="1" spans="1:15">
      <c r="A5451">
        <v>6952</v>
      </c>
      <c r="B5451" t="s">
        <v>5784</v>
      </c>
      <c r="C5451" t="str">
        <f>"41100220000310104X"</f>
        <v>41100220000310104X</v>
      </c>
      <c r="D5451" t="str">
        <f>"248030400905"</f>
        <v>248030400905</v>
      </c>
      <c r="L5451">
        <v>6952</v>
      </c>
      <c r="M5451" t="s">
        <v>5784</v>
      </c>
      <c r="N5451" t="str">
        <f>"248030400905"</f>
        <v>248030400905</v>
      </c>
      <c r="O5451" t="str">
        <f>"41100220000310104X"</f>
        <v>41100220000310104X</v>
      </c>
    </row>
    <row r="5452" customFormat="1" spans="1:15">
      <c r="A5452">
        <v>6956</v>
      </c>
      <c r="B5452" t="s">
        <v>5785</v>
      </c>
      <c r="C5452" t="str">
        <f>"460026200301243344"</f>
        <v>460026200301243344</v>
      </c>
      <c r="D5452" t="str">
        <f>"248030104005"</f>
        <v>248030104005</v>
      </c>
      <c r="L5452">
        <v>6956</v>
      </c>
      <c r="M5452" t="s">
        <v>5785</v>
      </c>
      <c r="N5452" t="str">
        <f>"248030104005"</f>
        <v>248030104005</v>
      </c>
      <c r="O5452" t="str">
        <f>"460026200301243344"</f>
        <v>460026200301243344</v>
      </c>
    </row>
    <row r="5453" customFormat="1" spans="1:15">
      <c r="A5453">
        <v>6957</v>
      </c>
      <c r="B5453" t="s">
        <v>5786</v>
      </c>
      <c r="C5453" t="str">
        <f>"460006200001265220"</f>
        <v>460006200001265220</v>
      </c>
      <c r="D5453" t="str">
        <f>"248030101927"</f>
        <v>248030101927</v>
      </c>
      <c r="L5453">
        <v>6957</v>
      </c>
      <c r="M5453" t="s">
        <v>5786</v>
      </c>
      <c r="N5453" t="str">
        <f>"248030101927"</f>
        <v>248030101927</v>
      </c>
      <c r="O5453" t="str">
        <f>"460006200001265220"</f>
        <v>460006200001265220</v>
      </c>
    </row>
    <row r="5454" customFormat="1" spans="1:15">
      <c r="A5454">
        <v>6958</v>
      </c>
      <c r="B5454" t="s">
        <v>5787</v>
      </c>
      <c r="C5454" t="str">
        <f>"460003199207270442"</f>
        <v>460003199207270442</v>
      </c>
      <c r="D5454" t="str">
        <f>"248030501308"</f>
        <v>248030501308</v>
      </c>
      <c r="L5454">
        <v>6958</v>
      </c>
      <c r="M5454" t="s">
        <v>5787</v>
      </c>
      <c r="N5454" t="str">
        <f>"248030501308"</f>
        <v>248030501308</v>
      </c>
      <c r="O5454" t="str">
        <f>"460003199207270442"</f>
        <v>460003199207270442</v>
      </c>
    </row>
    <row r="5455" customFormat="1" spans="1:15">
      <c r="A5455">
        <v>6959</v>
      </c>
      <c r="B5455" t="s">
        <v>5788</v>
      </c>
      <c r="C5455" t="str">
        <f>"469028200101260028"</f>
        <v>469028200101260028</v>
      </c>
      <c r="L5455">
        <v>6959</v>
      </c>
      <c r="M5455" t="s">
        <v>5788</v>
      </c>
      <c r="O5455" t="str">
        <f>"469028200101260028"</f>
        <v>469028200101260028</v>
      </c>
    </row>
    <row r="5456" customFormat="1" spans="1:15">
      <c r="A5456">
        <v>6960</v>
      </c>
      <c r="B5456" t="s">
        <v>5789</v>
      </c>
      <c r="C5456" t="str">
        <f>"469024200109292424"</f>
        <v>469024200109292424</v>
      </c>
      <c r="D5456" t="str">
        <f>"248030101805"</f>
        <v>248030101805</v>
      </c>
      <c r="L5456">
        <v>6960</v>
      </c>
      <c r="M5456" t="s">
        <v>5789</v>
      </c>
      <c r="N5456" t="str">
        <f>"248030101805"</f>
        <v>248030101805</v>
      </c>
      <c r="O5456" t="str">
        <f>"469024200109292424"</f>
        <v>469024200109292424</v>
      </c>
    </row>
    <row r="5457" customFormat="1" spans="1:15">
      <c r="A5457">
        <v>6961</v>
      </c>
      <c r="B5457" t="s">
        <v>5790</v>
      </c>
      <c r="C5457" t="str">
        <f>"422823200205274465"</f>
        <v>422823200205274465</v>
      </c>
      <c r="D5457" t="str">
        <f>"248030300611"</f>
        <v>248030300611</v>
      </c>
      <c r="L5457">
        <v>6961</v>
      </c>
      <c r="M5457" t="s">
        <v>5790</v>
      </c>
      <c r="N5457" t="str">
        <f>"248030300611"</f>
        <v>248030300611</v>
      </c>
      <c r="O5457" t="str">
        <f>"422823200205274465"</f>
        <v>422823200205274465</v>
      </c>
    </row>
    <row r="5458" customFormat="1" spans="1:15">
      <c r="A5458">
        <v>6962</v>
      </c>
      <c r="B5458" t="s">
        <v>5791</v>
      </c>
      <c r="C5458" t="str">
        <f>"460002200208102212"</f>
        <v>460002200208102212</v>
      </c>
      <c r="D5458" t="str">
        <f>"248030101023"</f>
        <v>248030101023</v>
      </c>
      <c r="L5458">
        <v>6962</v>
      </c>
      <c r="M5458" t="s">
        <v>5791</v>
      </c>
      <c r="N5458" t="str">
        <f>"248030101023"</f>
        <v>248030101023</v>
      </c>
      <c r="O5458" t="str">
        <f>"460002200208102212"</f>
        <v>460002200208102212</v>
      </c>
    </row>
    <row r="5459" customFormat="1" spans="1:15">
      <c r="A5459">
        <v>6963</v>
      </c>
      <c r="B5459" t="s">
        <v>5792</v>
      </c>
      <c r="C5459" t="str">
        <f>"460006200203160224"</f>
        <v>460006200203160224</v>
      </c>
      <c r="D5459" t="str">
        <f>"248030503922"</f>
        <v>248030503922</v>
      </c>
      <c r="L5459">
        <v>6963</v>
      </c>
      <c r="M5459" t="s">
        <v>5792</v>
      </c>
      <c r="N5459" t="str">
        <f>"248030503922"</f>
        <v>248030503922</v>
      </c>
      <c r="O5459" t="str">
        <f>"460006200203160224"</f>
        <v>460006200203160224</v>
      </c>
    </row>
    <row r="5460" customFormat="1" spans="1:15">
      <c r="A5460">
        <v>6964</v>
      </c>
      <c r="B5460" t="s">
        <v>5793</v>
      </c>
      <c r="C5460" t="str">
        <f>"460300199203040663"</f>
        <v>460300199203040663</v>
      </c>
      <c r="D5460" t="str">
        <f>"248030402322"</f>
        <v>248030402322</v>
      </c>
      <c r="L5460">
        <v>6964</v>
      </c>
      <c r="M5460" t="s">
        <v>5793</v>
      </c>
      <c r="N5460" t="str">
        <f>"248030402322"</f>
        <v>248030402322</v>
      </c>
      <c r="O5460" t="str">
        <f>"460300199203040663"</f>
        <v>460300199203040663</v>
      </c>
    </row>
    <row r="5461" customFormat="1" spans="1:15">
      <c r="A5461">
        <v>6966</v>
      </c>
      <c r="B5461" t="s">
        <v>5794</v>
      </c>
      <c r="C5461" t="str">
        <f>"46000620010901292X"</f>
        <v>46000620010901292X</v>
      </c>
      <c r="D5461" t="str">
        <f>"248030200429"</f>
        <v>248030200429</v>
      </c>
      <c r="L5461">
        <v>6966</v>
      </c>
      <c r="M5461" t="s">
        <v>5794</v>
      </c>
      <c r="N5461" t="str">
        <f>"248030200429"</f>
        <v>248030200429</v>
      </c>
      <c r="O5461" t="str">
        <f>"46000620010901292X"</f>
        <v>46000620010901292X</v>
      </c>
    </row>
    <row r="5462" customFormat="1" spans="1:15">
      <c r="A5462">
        <v>6968</v>
      </c>
      <c r="B5462" t="s">
        <v>5795</v>
      </c>
      <c r="C5462" t="str">
        <f>"460003199707015819"</f>
        <v>460003199707015819</v>
      </c>
      <c r="L5462">
        <v>6968</v>
      </c>
      <c r="M5462" t="s">
        <v>5795</v>
      </c>
      <c r="O5462" t="str">
        <f>"460003199707015819"</f>
        <v>460003199707015819</v>
      </c>
    </row>
    <row r="5463" customFormat="1" spans="1:15">
      <c r="A5463">
        <v>6969</v>
      </c>
      <c r="B5463" t="s">
        <v>5796</v>
      </c>
      <c r="C5463" t="str">
        <f>"460107200007102627"</f>
        <v>460107200007102627</v>
      </c>
      <c r="D5463" t="str">
        <f>"248030103501"</f>
        <v>248030103501</v>
      </c>
      <c r="L5463">
        <v>6969</v>
      </c>
      <c r="M5463" t="s">
        <v>5796</v>
      </c>
      <c r="N5463" t="str">
        <f>"248030103501"</f>
        <v>248030103501</v>
      </c>
      <c r="O5463" t="str">
        <f>"460107200007102627"</f>
        <v>460107200007102627</v>
      </c>
    </row>
    <row r="5464" customFormat="1" spans="1:15">
      <c r="A5464">
        <v>6970</v>
      </c>
      <c r="B5464" t="s">
        <v>5797</v>
      </c>
      <c r="C5464" t="str">
        <f>"460300199404010014"</f>
        <v>460300199404010014</v>
      </c>
      <c r="L5464">
        <v>6970</v>
      </c>
      <c r="M5464" t="s">
        <v>5797</v>
      </c>
      <c r="O5464" t="str">
        <f>"460300199404010014"</f>
        <v>460300199404010014</v>
      </c>
    </row>
    <row r="5465" customFormat="1" spans="1:15">
      <c r="A5465">
        <v>6971</v>
      </c>
      <c r="B5465" t="s">
        <v>5798</v>
      </c>
      <c r="C5465" t="str">
        <f>"460030199612123322"</f>
        <v>460030199612123322</v>
      </c>
      <c r="D5465" t="str">
        <f>"248030300812"</f>
        <v>248030300812</v>
      </c>
      <c r="L5465">
        <v>6971</v>
      </c>
      <c r="M5465" t="s">
        <v>5798</v>
      </c>
      <c r="N5465" t="str">
        <f>"248030300812"</f>
        <v>248030300812</v>
      </c>
      <c r="O5465" t="str">
        <f>"460030199612123322"</f>
        <v>460030199612123322</v>
      </c>
    </row>
    <row r="5466" customFormat="1" spans="1:15">
      <c r="A5466">
        <v>6972</v>
      </c>
      <c r="B5466" t="s">
        <v>5799</v>
      </c>
      <c r="C5466" t="str">
        <f>"460034199210201231"</f>
        <v>460034199210201231</v>
      </c>
      <c r="L5466">
        <v>6972</v>
      </c>
      <c r="M5466" t="s">
        <v>5799</v>
      </c>
      <c r="O5466" t="str">
        <f>"460034199210201231"</f>
        <v>460034199210201231</v>
      </c>
    </row>
    <row r="5467" customFormat="1" spans="1:15">
      <c r="A5467">
        <v>6973</v>
      </c>
      <c r="B5467" t="s">
        <v>5800</v>
      </c>
      <c r="C5467" t="str">
        <f>"469023200010025928"</f>
        <v>469023200010025928</v>
      </c>
      <c r="D5467" t="str">
        <f>"248030403114"</f>
        <v>248030403114</v>
      </c>
      <c r="L5467">
        <v>6973</v>
      </c>
      <c r="M5467" t="s">
        <v>5800</v>
      </c>
      <c r="N5467" t="str">
        <f>"248030403114"</f>
        <v>248030403114</v>
      </c>
      <c r="O5467" t="str">
        <f>"469023200010025928"</f>
        <v>469023200010025928</v>
      </c>
    </row>
    <row r="5468" customFormat="1" spans="1:15">
      <c r="A5468">
        <v>6974</v>
      </c>
      <c r="B5468" t="s">
        <v>5801</v>
      </c>
      <c r="C5468" t="str">
        <f>"460003199607196616"</f>
        <v>460003199607196616</v>
      </c>
      <c r="D5468" t="str">
        <f>"248030200703"</f>
        <v>248030200703</v>
      </c>
      <c r="L5468">
        <v>6974</v>
      </c>
      <c r="M5468" t="s">
        <v>5801</v>
      </c>
      <c r="N5468" t="str">
        <f>"248030200703"</f>
        <v>248030200703</v>
      </c>
      <c r="O5468" t="str">
        <f>"460003199607196616"</f>
        <v>460003199607196616</v>
      </c>
    </row>
    <row r="5469" customFormat="1" spans="1:15">
      <c r="A5469">
        <v>6975</v>
      </c>
      <c r="B5469" t="s">
        <v>107</v>
      </c>
      <c r="C5469" t="str">
        <f>"460033199607062683"</f>
        <v>460033199607062683</v>
      </c>
      <c r="D5469" t="str">
        <f>"248030501916"</f>
        <v>248030501916</v>
      </c>
      <c r="L5469">
        <v>6975</v>
      </c>
      <c r="M5469" t="s">
        <v>107</v>
      </c>
      <c r="N5469" t="str">
        <f>"248030501916"</f>
        <v>248030501916</v>
      </c>
      <c r="O5469" t="str">
        <f>"460033199607062683"</f>
        <v>460033199607062683</v>
      </c>
    </row>
    <row r="5470" customFormat="1" spans="1:15">
      <c r="A5470">
        <v>6976</v>
      </c>
      <c r="B5470" t="s">
        <v>5802</v>
      </c>
      <c r="C5470" t="str">
        <f>"35052519951227102X"</f>
        <v>35052519951227102X</v>
      </c>
      <c r="D5470" t="str">
        <f>"248030104409"</f>
        <v>248030104409</v>
      </c>
      <c r="L5470">
        <v>6976</v>
      </c>
      <c r="M5470" t="s">
        <v>5802</v>
      </c>
      <c r="N5470" t="str">
        <f>"248030104409"</f>
        <v>248030104409</v>
      </c>
      <c r="O5470" t="str">
        <f>"35052519951227102X"</f>
        <v>35052519951227102X</v>
      </c>
    </row>
    <row r="5471" customFormat="1" spans="1:15">
      <c r="A5471">
        <v>6977</v>
      </c>
      <c r="B5471" t="s">
        <v>114</v>
      </c>
      <c r="C5471" t="str">
        <f>"460103200203190622"</f>
        <v>460103200203190622</v>
      </c>
      <c r="D5471" t="str">
        <f>"248030101618"</f>
        <v>248030101618</v>
      </c>
      <c r="L5471">
        <v>6977</v>
      </c>
      <c r="M5471" t="s">
        <v>114</v>
      </c>
      <c r="N5471" t="str">
        <f>"248030101618"</f>
        <v>248030101618</v>
      </c>
      <c r="O5471" t="str">
        <f>"460103200203190622"</f>
        <v>460103200203190622</v>
      </c>
    </row>
    <row r="5472" customFormat="1" spans="1:15">
      <c r="A5472">
        <v>6978</v>
      </c>
      <c r="B5472" t="s">
        <v>575</v>
      </c>
      <c r="C5472" t="str">
        <f>"460004200003050044"</f>
        <v>460004200003050044</v>
      </c>
      <c r="D5472" t="str">
        <f>"248030302803"</f>
        <v>248030302803</v>
      </c>
      <c r="L5472">
        <v>6978</v>
      </c>
      <c r="M5472" t="s">
        <v>575</v>
      </c>
      <c r="N5472" t="str">
        <f>"248030302803"</f>
        <v>248030302803</v>
      </c>
      <c r="O5472" t="str">
        <f>"460004200003050044"</f>
        <v>460004200003050044</v>
      </c>
    </row>
    <row r="5473" customFormat="1" spans="1:15">
      <c r="A5473">
        <v>6979</v>
      </c>
      <c r="B5473" t="s">
        <v>5803</v>
      </c>
      <c r="C5473" t="str">
        <f>"469024200104250022"</f>
        <v>469024200104250022</v>
      </c>
      <c r="D5473" t="str">
        <f>"248030400921"</f>
        <v>248030400921</v>
      </c>
      <c r="L5473">
        <v>6979</v>
      </c>
      <c r="M5473" t="s">
        <v>5803</v>
      </c>
      <c r="N5473" t="str">
        <f>"248030400921"</f>
        <v>248030400921</v>
      </c>
      <c r="O5473" t="str">
        <f>"469024200104250022"</f>
        <v>469024200104250022</v>
      </c>
    </row>
    <row r="5474" customFormat="1" spans="1:15">
      <c r="A5474">
        <v>6981</v>
      </c>
      <c r="B5474" t="s">
        <v>5804</v>
      </c>
      <c r="C5474" t="str">
        <f>"460025199802041220"</f>
        <v>460025199802041220</v>
      </c>
      <c r="D5474" t="str">
        <f>"248030200322"</f>
        <v>248030200322</v>
      </c>
      <c r="L5474">
        <v>6981</v>
      </c>
      <c r="M5474" t="s">
        <v>5804</v>
      </c>
      <c r="N5474" t="str">
        <f>"248030200322"</f>
        <v>248030200322</v>
      </c>
      <c r="O5474" t="str">
        <f>"460025199802041220"</f>
        <v>460025199802041220</v>
      </c>
    </row>
    <row r="5475" customFormat="1" spans="1:15">
      <c r="A5475">
        <v>6982</v>
      </c>
      <c r="B5475" t="s">
        <v>2479</v>
      </c>
      <c r="C5475" t="str">
        <f>"460102200005282124"</f>
        <v>460102200005282124</v>
      </c>
      <c r="D5475" t="str">
        <f>"248030100321"</f>
        <v>248030100321</v>
      </c>
      <c r="L5475">
        <v>6982</v>
      </c>
      <c r="M5475" t="s">
        <v>2479</v>
      </c>
      <c r="N5475" t="str">
        <f>"248030100321"</f>
        <v>248030100321</v>
      </c>
      <c r="O5475" t="str">
        <f>"460102200005282124"</f>
        <v>460102200005282124</v>
      </c>
    </row>
    <row r="5476" customFormat="1" spans="1:15">
      <c r="A5476">
        <v>6983</v>
      </c>
      <c r="B5476" t="s">
        <v>5805</v>
      </c>
      <c r="C5476" t="str">
        <f>"450881200108254128"</f>
        <v>450881200108254128</v>
      </c>
      <c r="D5476" t="str">
        <f>"248030401203"</f>
        <v>248030401203</v>
      </c>
      <c r="L5476">
        <v>6983</v>
      </c>
      <c r="M5476" t="s">
        <v>5805</v>
      </c>
      <c r="N5476" t="str">
        <f>"248030401203"</f>
        <v>248030401203</v>
      </c>
      <c r="O5476" t="str">
        <f>"450881200108254128"</f>
        <v>450881200108254128</v>
      </c>
    </row>
    <row r="5477" customFormat="1" spans="1:15">
      <c r="A5477">
        <v>6984</v>
      </c>
      <c r="B5477" t="s">
        <v>5806</v>
      </c>
      <c r="C5477" t="str">
        <f>"460102200107120927"</f>
        <v>460102200107120927</v>
      </c>
      <c r="D5477" t="str">
        <f>"248030104521"</f>
        <v>248030104521</v>
      </c>
      <c r="L5477">
        <v>6984</v>
      </c>
      <c r="M5477" t="s">
        <v>5806</v>
      </c>
      <c r="N5477" t="str">
        <f>"248030104521"</f>
        <v>248030104521</v>
      </c>
      <c r="O5477" t="str">
        <f>"460102200107120927"</f>
        <v>460102200107120927</v>
      </c>
    </row>
    <row r="5478" customFormat="1" spans="1:15">
      <c r="A5478">
        <v>6985</v>
      </c>
      <c r="B5478" t="s">
        <v>5807</v>
      </c>
      <c r="C5478" t="str">
        <f>"460102199008240944"</f>
        <v>460102199008240944</v>
      </c>
      <c r="D5478" t="str">
        <f>"248030402030"</f>
        <v>248030402030</v>
      </c>
      <c r="L5478">
        <v>6985</v>
      </c>
      <c r="M5478" t="s">
        <v>5807</v>
      </c>
      <c r="N5478" t="str">
        <f>"248030402030"</f>
        <v>248030402030</v>
      </c>
      <c r="O5478" t="str">
        <f>"460102199008240944"</f>
        <v>460102199008240944</v>
      </c>
    </row>
    <row r="5479" customFormat="1" spans="1:15">
      <c r="A5479">
        <v>6986</v>
      </c>
      <c r="B5479" t="s">
        <v>5808</v>
      </c>
      <c r="C5479" t="str">
        <f>"340823199912040863"</f>
        <v>340823199912040863</v>
      </c>
      <c r="D5479" t="str">
        <f>"248030101928"</f>
        <v>248030101928</v>
      </c>
      <c r="L5479">
        <v>6986</v>
      </c>
      <c r="M5479" t="s">
        <v>5808</v>
      </c>
      <c r="N5479" t="str">
        <f>"248030101928"</f>
        <v>248030101928</v>
      </c>
      <c r="O5479" t="str">
        <f>"340823199912040863"</f>
        <v>340823199912040863</v>
      </c>
    </row>
    <row r="5480" customFormat="1" spans="1:15">
      <c r="A5480">
        <v>6988</v>
      </c>
      <c r="B5480" t="s">
        <v>5809</v>
      </c>
      <c r="C5480" t="str">
        <f>"460035199508091326"</f>
        <v>460035199508091326</v>
      </c>
      <c r="D5480" t="str">
        <f>"248030101317"</f>
        <v>248030101317</v>
      </c>
      <c r="L5480">
        <v>6988</v>
      </c>
      <c r="M5480" t="s">
        <v>5809</v>
      </c>
      <c r="N5480" t="str">
        <f>"248030101317"</f>
        <v>248030101317</v>
      </c>
      <c r="O5480" t="str">
        <f>"460035199508091326"</f>
        <v>460035199508091326</v>
      </c>
    </row>
    <row r="5481" customFormat="1" spans="1:15">
      <c r="A5481">
        <v>6989</v>
      </c>
      <c r="B5481" t="s">
        <v>5810</v>
      </c>
      <c r="C5481" t="str">
        <f>"610502199910210029"</f>
        <v>610502199910210029</v>
      </c>
      <c r="D5481" t="str">
        <f>"248030103314"</f>
        <v>248030103314</v>
      </c>
      <c r="L5481">
        <v>6989</v>
      </c>
      <c r="M5481" t="s">
        <v>5810</v>
      </c>
      <c r="N5481" t="str">
        <f>"248030103314"</f>
        <v>248030103314</v>
      </c>
      <c r="O5481" t="str">
        <f>"610502199910210029"</f>
        <v>610502199910210029</v>
      </c>
    </row>
    <row r="5482" customFormat="1" spans="1:15">
      <c r="A5482">
        <v>6990</v>
      </c>
      <c r="B5482" t="s">
        <v>5811</v>
      </c>
      <c r="C5482" t="str">
        <f>"460102199411302746"</f>
        <v>460102199411302746</v>
      </c>
      <c r="D5482" t="str">
        <f>"248030104625"</f>
        <v>248030104625</v>
      </c>
      <c r="L5482">
        <v>6990</v>
      </c>
      <c r="M5482" t="s">
        <v>5811</v>
      </c>
      <c r="N5482" t="str">
        <f>"248030104625"</f>
        <v>248030104625</v>
      </c>
      <c r="O5482" t="str">
        <f>"460102199411302746"</f>
        <v>460102199411302746</v>
      </c>
    </row>
    <row r="5483" customFormat="1" spans="1:15">
      <c r="A5483">
        <v>6991</v>
      </c>
      <c r="B5483" t="s">
        <v>5812</v>
      </c>
      <c r="C5483" t="str">
        <f>"52222919950505322X"</f>
        <v>52222919950505322X</v>
      </c>
      <c r="D5483" t="str">
        <f>"248030503027"</f>
        <v>248030503027</v>
      </c>
      <c r="L5483">
        <v>6991</v>
      </c>
      <c r="M5483" t="s">
        <v>5812</v>
      </c>
      <c r="N5483" t="str">
        <f>"248030503027"</f>
        <v>248030503027</v>
      </c>
      <c r="O5483" t="str">
        <f>"52222919950505322X"</f>
        <v>52222919950505322X</v>
      </c>
    </row>
    <row r="5484" customFormat="1" spans="1:15">
      <c r="A5484">
        <v>6992</v>
      </c>
      <c r="B5484" t="s">
        <v>5813</v>
      </c>
      <c r="C5484" t="str">
        <f>"460031199504137213"</f>
        <v>460031199504137213</v>
      </c>
      <c r="D5484" t="str">
        <f>"248030402317"</f>
        <v>248030402317</v>
      </c>
      <c r="L5484">
        <v>6992</v>
      </c>
      <c r="M5484" t="s">
        <v>5813</v>
      </c>
      <c r="N5484" t="str">
        <f>"248030402317"</f>
        <v>248030402317</v>
      </c>
      <c r="O5484" t="str">
        <f>"460031199504137213"</f>
        <v>460031199504137213</v>
      </c>
    </row>
    <row r="5485" customFormat="1" spans="1:15">
      <c r="A5485">
        <v>6993</v>
      </c>
      <c r="B5485" t="s">
        <v>5814</v>
      </c>
      <c r="C5485" t="str">
        <f>"441223198903240027"</f>
        <v>441223198903240027</v>
      </c>
      <c r="D5485" t="str">
        <f>"248030201902"</f>
        <v>248030201902</v>
      </c>
      <c r="L5485">
        <v>6993</v>
      </c>
      <c r="M5485" t="s">
        <v>5814</v>
      </c>
      <c r="N5485" t="str">
        <f>"248030201902"</f>
        <v>248030201902</v>
      </c>
      <c r="O5485" t="str">
        <f>"441223198903240027"</f>
        <v>441223198903240027</v>
      </c>
    </row>
    <row r="5486" customFormat="1" spans="1:15">
      <c r="A5486">
        <v>6995</v>
      </c>
      <c r="B5486" t="s">
        <v>5815</v>
      </c>
      <c r="C5486" t="str">
        <f>"460300199203050327"</f>
        <v>460300199203050327</v>
      </c>
      <c r="D5486" t="str">
        <f>"248030300428"</f>
        <v>248030300428</v>
      </c>
      <c r="L5486">
        <v>6995</v>
      </c>
      <c r="M5486" t="s">
        <v>5815</v>
      </c>
      <c r="N5486" t="str">
        <f>"248030300428"</f>
        <v>248030300428</v>
      </c>
      <c r="O5486" t="str">
        <f>"460300199203050327"</f>
        <v>460300199203050327</v>
      </c>
    </row>
    <row r="5487" customFormat="1" spans="1:15">
      <c r="A5487">
        <v>6996</v>
      </c>
      <c r="B5487" t="s">
        <v>5816</v>
      </c>
      <c r="C5487" t="str">
        <f>"430529199508160023"</f>
        <v>430529199508160023</v>
      </c>
      <c r="L5487">
        <v>6996</v>
      </c>
      <c r="M5487" t="s">
        <v>5816</v>
      </c>
      <c r="O5487" t="str">
        <f>"430529199508160023"</f>
        <v>430529199508160023</v>
      </c>
    </row>
    <row r="5488" customFormat="1" spans="1:15">
      <c r="A5488">
        <v>6998</v>
      </c>
      <c r="B5488" t="s">
        <v>5817</v>
      </c>
      <c r="C5488" t="str">
        <f>"460102200009173021"</f>
        <v>460102200009173021</v>
      </c>
      <c r="D5488" t="str">
        <f>"248030503220"</f>
        <v>248030503220</v>
      </c>
      <c r="L5488">
        <v>6998</v>
      </c>
      <c r="M5488" t="s">
        <v>5817</v>
      </c>
      <c r="N5488" t="str">
        <f>"248030503220"</f>
        <v>248030503220</v>
      </c>
      <c r="O5488" t="str">
        <f>"460102200009173021"</f>
        <v>460102200009173021</v>
      </c>
    </row>
    <row r="5489" customFormat="1" spans="1:15">
      <c r="A5489">
        <v>6999</v>
      </c>
      <c r="B5489" t="s">
        <v>5818</v>
      </c>
      <c r="C5489" t="str">
        <f>"460007200001015762"</f>
        <v>460007200001015762</v>
      </c>
      <c r="D5489" t="str">
        <f>"248030302402"</f>
        <v>248030302402</v>
      </c>
      <c r="L5489">
        <v>6999</v>
      </c>
      <c r="M5489" t="s">
        <v>5818</v>
      </c>
      <c r="N5489" t="str">
        <f>"248030302402"</f>
        <v>248030302402</v>
      </c>
      <c r="O5489" t="str">
        <f>"460007200001015762"</f>
        <v>460007200001015762</v>
      </c>
    </row>
    <row r="5490" customFormat="1" spans="1:15">
      <c r="A5490">
        <v>7001</v>
      </c>
      <c r="B5490" t="s">
        <v>5819</v>
      </c>
      <c r="C5490" t="str">
        <f>"142701200003080928"</f>
        <v>142701200003080928</v>
      </c>
      <c r="D5490" t="str">
        <f>"248030403109"</f>
        <v>248030403109</v>
      </c>
      <c r="L5490">
        <v>7001</v>
      </c>
      <c r="M5490" t="s">
        <v>5819</v>
      </c>
      <c r="N5490" t="str">
        <f>"248030403109"</f>
        <v>248030403109</v>
      </c>
      <c r="O5490" t="str">
        <f>"142701200003080928"</f>
        <v>142701200003080928</v>
      </c>
    </row>
    <row r="5491" customFormat="1" spans="1:15">
      <c r="A5491">
        <v>7002</v>
      </c>
      <c r="B5491" t="s">
        <v>5820</v>
      </c>
      <c r="C5491" t="str">
        <f>"450421200009276518"</f>
        <v>450421200009276518</v>
      </c>
      <c r="D5491" t="str">
        <f>"248030301613"</f>
        <v>248030301613</v>
      </c>
      <c r="L5491">
        <v>7002</v>
      </c>
      <c r="M5491" t="s">
        <v>5820</v>
      </c>
      <c r="N5491" t="str">
        <f>"248030301613"</f>
        <v>248030301613</v>
      </c>
      <c r="O5491" t="str">
        <f>"450421200009276518"</f>
        <v>450421200009276518</v>
      </c>
    </row>
    <row r="5492" customFormat="1" spans="1:15">
      <c r="A5492">
        <v>7003</v>
      </c>
      <c r="B5492" t="s">
        <v>5821</v>
      </c>
      <c r="C5492" t="str">
        <f>"371121199909102328"</f>
        <v>371121199909102328</v>
      </c>
      <c r="D5492" t="str">
        <f>"248030402002"</f>
        <v>248030402002</v>
      </c>
      <c r="L5492">
        <v>7003</v>
      </c>
      <c r="M5492" t="s">
        <v>5821</v>
      </c>
      <c r="N5492" t="str">
        <f>"248030402002"</f>
        <v>248030402002</v>
      </c>
      <c r="O5492" t="str">
        <f>"371121199909102328"</f>
        <v>371121199909102328</v>
      </c>
    </row>
    <row r="5493" customFormat="1" spans="1:15">
      <c r="A5493">
        <v>7008</v>
      </c>
      <c r="B5493" t="s">
        <v>5822</v>
      </c>
      <c r="C5493" t="str">
        <f>"360722199805226322"</f>
        <v>360722199805226322</v>
      </c>
      <c r="D5493" t="str">
        <f>"248030502401"</f>
        <v>248030502401</v>
      </c>
      <c r="L5493">
        <v>7008</v>
      </c>
      <c r="M5493" t="s">
        <v>5822</v>
      </c>
      <c r="N5493" t="str">
        <f>"248030502401"</f>
        <v>248030502401</v>
      </c>
      <c r="O5493" t="str">
        <f>"360722199805226322"</f>
        <v>360722199805226322</v>
      </c>
    </row>
    <row r="5494" customFormat="1" spans="1:15">
      <c r="A5494">
        <v>7009</v>
      </c>
      <c r="B5494" t="s">
        <v>5823</v>
      </c>
      <c r="C5494" t="str">
        <f>"450881199801311172"</f>
        <v>450881199801311172</v>
      </c>
      <c r="D5494" t="str">
        <f>"248030203322"</f>
        <v>248030203322</v>
      </c>
      <c r="L5494">
        <v>7009</v>
      </c>
      <c r="M5494" t="s">
        <v>5823</v>
      </c>
      <c r="N5494" t="str">
        <f>"248030203322"</f>
        <v>248030203322</v>
      </c>
      <c r="O5494" t="str">
        <f>"450881199801311172"</f>
        <v>450881199801311172</v>
      </c>
    </row>
    <row r="5495" customFormat="1" spans="1:15">
      <c r="A5495">
        <v>7010</v>
      </c>
      <c r="B5495" t="s">
        <v>5824</v>
      </c>
      <c r="C5495" t="str">
        <f>"152628200112180625"</f>
        <v>152628200112180625</v>
      </c>
      <c r="D5495" t="str">
        <f>"248030100103"</f>
        <v>248030100103</v>
      </c>
      <c r="L5495">
        <v>7010</v>
      </c>
      <c r="M5495" t="s">
        <v>5824</v>
      </c>
      <c r="N5495" t="str">
        <f>"248030100103"</f>
        <v>248030100103</v>
      </c>
      <c r="O5495" t="str">
        <f>"152628200112180625"</f>
        <v>152628200112180625</v>
      </c>
    </row>
    <row r="5496" customFormat="1" spans="1:15">
      <c r="A5496">
        <v>7011</v>
      </c>
      <c r="B5496" t="s">
        <v>5825</v>
      </c>
      <c r="C5496" t="str">
        <f>"460027200211134749"</f>
        <v>460027200211134749</v>
      </c>
      <c r="D5496" t="str">
        <f>"248030200428"</f>
        <v>248030200428</v>
      </c>
      <c r="L5496">
        <v>7011</v>
      </c>
      <c r="M5496" t="s">
        <v>5825</v>
      </c>
      <c r="N5496" t="str">
        <f>"248030200428"</f>
        <v>248030200428</v>
      </c>
      <c r="O5496" t="str">
        <f>"460027200211134749"</f>
        <v>460027200211134749</v>
      </c>
    </row>
    <row r="5497" customFormat="1" spans="1:15">
      <c r="A5497">
        <v>7012</v>
      </c>
      <c r="B5497" t="s">
        <v>5826</v>
      </c>
      <c r="C5497" t="str">
        <f>"210521200207020020"</f>
        <v>210521200207020020</v>
      </c>
      <c r="L5497">
        <v>7012</v>
      </c>
      <c r="M5497" t="s">
        <v>5826</v>
      </c>
      <c r="O5497" t="str">
        <f>"210521200207020020"</f>
        <v>210521200207020020</v>
      </c>
    </row>
    <row r="5498" customFormat="1" spans="1:15">
      <c r="A5498">
        <v>7013</v>
      </c>
      <c r="B5498" t="s">
        <v>5827</v>
      </c>
      <c r="C5498" t="str">
        <f>"46000620000804042X"</f>
        <v>46000620000804042X</v>
      </c>
      <c r="D5498" t="str">
        <f>"248030402001"</f>
        <v>248030402001</v>
      </c>
      <c r="L5498">
        <v>7013</v>
      </c>
      <c r="M5498" t="s">
        <v>5827</v>
      </c>
      <c r="N5498" t="str">
        <f>"248030402001"</f>
        <v>248030402001</v>
      </c>
      <c r="O5498" t="str">
        <f>"46000620000804042X"</f>
        <v>46000620000804042X</v>
      </c>
    </row>
    <row r="5499" customFormat="1" spans="1:15">
      <c r="A5499">
        <v>7014</v>
      </c>
      <c r="B5499" t="s">
        <v>5828</v>
      </c>
      <c r="C5499" t="str">
        <f>"421124199904140521"</f>
        <v>421124199904140521</v>
      </c>
      <c r="L5499">
        <v>7014</v>
      </c>
      <c r="M5499" t="s">
        <v>5828</v>
      </c>
      <c r="O5499" t="str">
        <f>"421124199904140521"</f>
        <v>421124199904140521</v>
      </c>
    </row>
    <row r="5500" customFormat="1" spans="1:15">
      <c r="A5500">
        <v>7015</v>
      </c>
      <c r="B5500" t="s">
        <v>5829</v>
      </c>
      <c r="C5500" t="str">
        <f>"460006200007244818"</f>
        <v>460006200007244818</v>
      </c>
      <c r="D5500" t="str">
        <f>"248030202210"</f>
        <v>248030202210</v>
      </c>
      <c r="L5500">
        <v>7015</v>
      </c>
      <c r="M5500" t="s">
        <v>5829</v>
      </c>
      <c r="N5500" t="str">
        <f>"248030202210"</f>
        <v>248030202210</v>
      </c>
      <c r="O5500" t="str">
        <f>"460006200007244818"</f>
        <v>460006200007244818</v>
      </c>
    </row>
    <row r="5501" customFormat="1" spans="1:15">
      <c r="A5501">
        <v>7018</v>
      </c>
      <c r="B5501" t="s">
        <v>5830</v>
      </c>
      <c r="C5501" t="str">
        <f>"469007199807266168"</f>
        <v>469007199807266168</v>
      </c>
      <c r="D5501" t="str">
        <f>"248030103528"</f>
        <v>248030103528</v>
      </c>
      <c r="L5501">
        <v>7018</v>
      </c>
      <c r="M5501" t="s">
        <v>5830</v>
      </c>
      <c r="N5501" t="str">
        <f>"248030103528"</f>
        <v>248030103528</v>
      </c>
      <c r="O5501" t="str">
        <f>"469007199807266168"</f>
        <v>469007199807266168</v>
      </c>
    </row>
    <row r="5502" customFormat="1" spans="1:15">
      <c r="A5502">
        <v>7019</v>
      </c>
      <c r="B5502" t="s">
        <v>5831</v>
      </c>
      <c r="C5502" t="str">
        <f>"469005199910242321"</f>
        <v>469005199910242321</v>
      </c>
      <c r="D5502" t="str">
        <f>"248030203501"</f>
        <v>248030203501</v>
      </c>
      <c r="L5502">
        <v>7019</v>
      </c>
      <c r="M5502" t="s">
        <v>5831</v>
      </c>
      <c r="N5502" t="str">
        <f>"248030203501"</f>
        <v>248030203501</v>
      </c>
      <c r="O5502" t="str">
        <f>"469005199910242321"</f>
        <v>469005199910242321</v>
      </c>
    </row>
    <row r="5503" customFormat="1" spans="1:15">
      <c r="A5503">
        <v>7020</v>
      </c>
      <c r="B5503" t="s">
        <v>5832</v>
      </c>
      <c r="C5503" t="str">
        <f>"460027200009230024"</f>
        <v>460027200009230024</v>
      </c>
      <c r="D5503" t="str">
        <f>"248030502817"</f>
        <v>248030502817</v>
      </c>
      <c r="L5503">
        <v>7020</v>
      </c>
      <c r="M5503" t="s">
        <v>5832</v>
      </c>
      <c r="N5503" t="str">
        <f>"248030502817"</f>
        <v>248030502817</v>
      </c>
      <c r="O5503" t="str">
        <f>"460027200009230024"</f>
        <v>460027200009230024</v>
      </c>
    </row>
    <row r="5504" customFormat="1" spans="1:15">
      <c r="A5504">
        <v>7022</v>
      </c>
      <c r="B5504" t="s">
        <v>5833</v>
      </c>
      <c r="C5504" t="str">
        <f>"469023200304138223"</f>
        <v>469023200304138223</v>
      </c>
      <c r="D5504" t="str">
        <f>"248030403729"</f>
        <v>248030403729</v>
      </c>
      <c r="L5504">
        <v>7022</v>
      </c>
      <c r="M5504" t="s">
        <v>5833</v>
      </c>
      <c r="N5504" t="str">
        <f>"248030403729"</f>
        <v>248030403729</v>
      </c>
      <c r="O5504" t="str">
        <f>"469023200304138223"</f>
        <v>469023200304138223</v>
      </c>
    </row>
    <row r="5505" customFormat="1" spans="1:15">
      <c r="A5505">
        <v>7023</v>
      </c>
      <c r="B5505" t="s">
        <v>5834</v>
      </c>
      <c r="C5505" t="str">
        <f>"460107199901150011"</f>
        <v>460107199901150011</v>
      </c>
      <c r="D5505" t="str">
        <f>"248030403921"</f>
        <v>248030403921</v>
      </c>
      <c r="L5505">
        <v>7023</v>
      </c>
      <c r="M5505" t="s">
        <v>5834</v>
      </c>
      <c r="N5505" t="str">
        <f>"248030403921"</f>
        <v>248030403921</v>
      </c>
      <c r="O5505" t="str">
        <f>"460107199901150011"</f>
        <v>460107199901150011</v>
      </c>
    </row>
    <row r="5506" customFormat="1" spans="1:15">
      <c r="A5506">
        <v>7024</v>
      </c>
      <c r="B5506" t="s">
        <v>5835</v>
      </c>
      <c r="C5506" t="str">
        <f>"469024200108306062"</f>
        <v>469024200108306062</v>
      </c>
      <c r="D5506" t="str">
        <f>"248030503118"</f>
        <v>248030503118</v>
      </c>
      <c r="L5506">
        <v>7024</v>
      </c>
      <c r="M5506" t="s">
        <v>5835</v>
      </c>
      <c r="N5506" t="str">
        <f>"248030503118"</f>
        <v>248030503118</v>
      </c>
      <c r="O5506" t="str">
        <f>"469024200108306062"</f>
        <v>469024200108306062</v>
      </c>
    </row>
    <row r="5507" customFormat="1" spans="1:15">
      <c r="A5507">
        <v>7025</v>
      </c>
      <c r="B5507" t="s">
        <v>5836</v>
      </c>
      <c r="C5507" t="str">
        <f>"460003199604225223"</f>
        <v>460003199604225223</v>
      </c>
      <c r="D5507" t="str">
        <f>"248030502026"</f>
        <v>248030502026</v>
      </c>
      <c r="L5507">
        <v>7025</v>
      </c>
      <c r="M5507" t="s">
        <v>5836</v>
      </c>
      <c r="N5507" t="str">
        <f>"248030502026"</f>
        <v>248030502026</v>
      </c>
      <c r="O5507" t="str">
        <f>"460003199604225223"</f>
        <v>460003199604225223</v>
      </c>
    </row>
    <row r="5508" customFormat="1" spans="1:15">
      <c r="A5508">
        <v>7026</v>
      </c>
      <c r="B5508" t="s">
        <v>5837</v>
      </c>
      <c r="C5508" t="str">
        <f>"460030199806230310"</f>
        <v>460030199806230310</v>
      </c>
      <c r="L5508">
        <v>7026</v>
      </c>
      <c r="M5508" t="s">
        <v>5837</v>
      </c>
      <c r="O5508" t="str">
        <f>"460030199806230310"</f>
        <v>460030199806230310</v>
      </c>
    </row>
    <row r="5509" customFormat="1" spans="1:15">
      <c r="A5509">
        <v>7028</v>
      </c>
      <c r="B5509" t="s">
        <v>5838</v>
      </c>
      <c r="C5509" t="str">
        <f>"460026199904053317"</f>
        <v>460026199904053317</v>
      </c>
      <c r="D5509" t="str">
        <f>"248030400904"</f>
        <v>248030400904</v>
      </c>
      <c r="L5509">
        <v>7028</v>
      </c>
      <c r="M5509" t="s">
        <v>5838</v>
      </c>
      <c r="N5509" t="str">
        <f>"248030400904"</f>
        <v>248030400904</v>
      </c>
      <c r="O5509" t="str">
        <f>"460026199904053317"</f>
        <v>460026199904053317</v>
      </c>
    </row>
    <row r="5510" customFormat="1" spans="1:15">
      <c r="A5510">
        <v>7032</v>
      </c>
      <c r="B5510" t="s">
        <v>5839</v>
      </c>
      <c r="C5510" t="str">
        <f>"460027200205073548"</f>
        <v>460027200205073548</v>
      </c>
      <c r="D5510" t="str">
        <f>"248030501612"</f>
        <v>248030501612</v>
      </c>
      <c r="L5510">
        <v>7032</v>
      </c>
      <c r="M5510" t="s">
        <v>5839</v>
      </c>
      <c r="N5510" t="str">
        <f>"248030501612"</f>
        <v>248030501612</v>
      </c>
      <c r="O5510" t="str">
        <f>"460027200205073548"</f>
        <v>460027200205073548</v>
      </c>
    </row>
    <row r="5511" customFormat="1" spans="1:15">
      <c r="A5511">
        <v>7034</v>
      </c>
      <c r="B5511" t="s">
        <v>5840</v>
      </c>
      <c r="C5511" t="str">
        <f>"460007199812057645"</f>
        <v>460007199812057645</v>
      </c>
      <c r="D5511" t="str">
        <f>"248030101207"</f>
        <v>248030101207</v>
      </c>
      <c r="L5511">
        <v>7034</v>
      </c>
      <c r="M5511" t="s">
        <v>5840</v>
      </c>
      <c r="N5511" t="str">
        <f>"248030101207"</f>
        <v>248030101207</v>
      </c>
      <c r="O5511" t="str">
        <f>"460007199812057645"</f>
        <v>460007199812057645</v>
      </c>
    </row>
    <row r="5512" customFormat="1" spans="1:15">
      <c r="A5512">
        <v>7035</v>
      </c>
      <c r="B5512" t="s">
        <v>5841</v>
      </c>
      <c r="C5512" t="str">
        <f>"41072519930110988X"</f>
        <v>41072519930110988X</v>
      </c>
      <c r="L5512">
        <v>7035</v>
      </c>
      <c r="M5512" t="s">
        <v>5841</v>
      </c>
      <c r="O5512" t="str">
        <f>"41072519930110988X"</f>
        <v>41072519930110988X</v>
      </c>
    </row>
    <row r="5513" customFormat="1" spans="1:15">
      <c r="A5513">
        <v>7036</v>
      </c>
      <c r="B5513" t="s">
        <v>5842</v>
      </c>
      <c r="C5513" t="str">
        <f>"460003199410196882"</f>
        <v>460003199410196882</v>
      </c>
      <c r="D5513" t="str">
        <f>"248030402013"</f>
        <v>248030402013</v>
      </c>
      <c r="L5513">
        <v>7036</v>
      </c>
      <c r="M5513" t="s">
        <v>5842</v>
      </c>
      <c r="N5513" t="str">
        <f>"248030402013"</f>
        <v>248030402013</v>
      </c>
      <c r="O5513" t="str">
        <f>"460003199410196882"</f>
        <v>460003199410196882</v>
      </c>
    </row>
    <row r="5514" customFormat="1" spans="1:15">
      <c r="A5514">
        <v>7039</v>
      </c>
      <c r="B5514" t="s">
        <v>5843</v>
      </c>
      <c r="C5514" t="str">
        <f>"460103199004291521"</f>
        <v>460103199004291521</v>
      </c>
      <c r="D5514" t="str">
        <f>"248030403216"</f>
        <v>248030403216</v>
      </c>
      <c r="L5514">
        <v>7039</v>
      </c>
      <c r="M5514" t="s">
        <v>5843</v>
      </c>
      <c r="N5514" t="str">
        <f>"248030403216"</f>
        <v>248030403216</v>
      </c>
      <c r="O5514" t="str">
        <f>"460103199004291521"</f>
        <v>460103199004291521</v>
      </c>
    </row>
    <row r="5515" customFormat="1" spans="1:15">
      <c r="A5515">
        <v>7040</v>
      </c>
      <c r="B5515" t="s">
        <v>350</v>
      </c>
      <c r="C5515" t="str">
        <f>"460007199809022281"</f>
        <v>460007199809022281</v>
      </c>
      <c r="D5515" t="str">
        <f>"248030302015"</f>
        <v>248030302015</v>
      </c>
      <c r="L5515">
        <v>7040</v>
      </c>
      <c r="M5515" t="s">
        <v>350</v>
      </c>
      <c r="N5515" t="str">
        <f>"248030302015"</f>
        <v>248030302015</v>
      </c>
      <c r="O5515" t="str">
        <f>"460007199809022281"</f>
        <v>460007199809022281</v>
      </c>
    </row>
    <row r="5516" customFormat="1" spans="1:15">
      <c r="A5516">
        <v>7041</v>
      </c>
      <c r="B5516" t="s">
        <v>5844</v>
      </c>
      <c r="C5516" t="str">
        <f>"432522199712218189"</f>
        <v>432522199712218189</v>
      </c>
      <c r="D5516" t="str">
        <f>"248030103116"</f>
        <v>248030103116</v>
      </c>
      <c r="L5516">
        <v>7041</v>
      </c>
      <c r="M5516" t="s">
        <v>5844</v>
      </c>
      <c r="N5516" t="str">
        <f>"248030103116"</f>
        <v>248030103116</v>
      </c>
      <c r="O5516" t="str">
        <f>"432522199712218189"</f>
        <v>432522199712218189</v>
      </c>
    </row>
    <row r="5517" customFormat="1" spans="1:15">
      <c r="A5517">
        <v>7042</v>
      </c>
      <c r="B5517" t="s">
        <v>5845</v>
      </c>
      <c r="C5517" t="str">
        <f>"431103199908060924"</f>
        <v>431103199908060924</v>
      </c>
      <c r="D5517" t="str">
        <f>"248030203028"</f>
        <v>248030203028</v>
      </c>
      <c r="L5517">
        <v>7042</v>
      </c>
      <c r="M5517" t="s">
        <v>5845</v>
      </c>
      <c r="N5517" t="str">
        <f>"248030203028"</f>
        <v>248030203028</v>
      </c>
      <c r="O5517" t="str">
        <f>"431103199908060924"</f>
        <v>431103199908060924</v>
      </c>
    </row>
    <row r="5518" customFormat="1" spans="1:15">
      <c r="A5518">
        <v>7043</v>
      </c>
      <c r="B5518" t="s">
        <v>5846</v>
      </c>
      <c r="C5518" t="str">
        <f>"46000619890406311X"</f>
        <v>46000619890406311X</v>
      </c>
      <c r="D5518" t="str">
        <f>"248030202009"</f>
        <v>248030202009</v>
      </c>
      <c r="L5518">
        <v>7043</v>
      </c>
      <c r="M5518" t="s">
        <v>5846</v>
      </c>
      <c r="N5518" t="str">
        <f>"248030202009"</f>
        <v>248030202009</v>
      </c>
      <c r="O5518" t="str">
        <f>"46000619890406311X"</f>
        <v>46000619890406311X</v>
      </c>
    </row>
    <row r="5519" customFormat="1" spans="1:15">
      <c r="A5519">
        <v>7045</v>
      </c>
      <c r="B5519" t="s">
        <v>5847</v>
      </c>
      <c r="C5519" t="str">
        <f>"460002199909252824"</f>
        <v>460002199909252824</v>
      </c>
      <c r="D5519" t="str">
        <f>"248030104502"</f>
        <v>248030104502</v>
      </c>
      <c r="L5519">
        <v>7045</v>
      </c>
      <c r="M5519" t="s">
        <v>5847</v>
      </c>
      <c r="N5519" t="str">
        <f>"248030104502"</f>
        <v>248030104502</v>
      </c>
      <c r="O5519" t="str">
        <f>"460002199909252824"</f>
        <v>460002199909252824</v>
      </c>
    </row>
    <row r="5520" customFormat="1" spans="1:15">
      <c r="A5520">
        <v>7046</v>
      </c>
      <c r="B5520" t="s">
        <v>5848</v>
      </c>
      <c r="C5520" t="str">
        <f>"460027199903032916"</f>
        <v>460027199903032916</v>
      </c>
      <c r="D5520" t="str">
        <f>"248030202404"</f>
        <v>248030202404</v>
      </c>
      <c r="L5520">
        <v>7046</v>
      </c>
      <c r="M5520" t="s">
        <v>5848</v>
      </c>
      <c r="N5520" t="str">
        <f>"248030202404"</f>
        <v>248030202404</v>
      </c>
      <c r="O5520" t="str">
        <f>"460027199903032916"</f>
        <v>460027199903032916</v>
      </c>
    </row>
    <row r="5521" customFormat="1" spans="1:15">
      <c r="A5521">
        <v>7047</v>
      </c>
      <c r="B5521" t="s">
        <v>5849</v>
      </c>
      <c r="C5521" t="str">
        <f>"460031199809255237"</f>
        <v>460031199809255237</v>
      </c>
      <c r="D5521" t="str">
        <f>"248030302126"</f>
        <v>248030302126</v>
      </c>
      <c r="L5521">
        <v>7047</v>
      </c>
      <c r="M5521" t="s">
        <v>5849</v>
      </c>
      <c r="N5521" t="str">
        <f>"248030302126"</f>
        <v>248030302126</v>
      </c>
      <c r="O5521" t="str">
        <f>"460031199809255237"</f>
        <v>460031199809255237</v>
      </c>
    </row>
    <row r="5522" customFormat="1" spans="1:15">
      <c r="A5522">
        <v>7049</v>
      </c>
      <c r="B5522" t="s">
        <v>5850</v>
      </c>
      <c r="C5522" t="str">
        <f>"142633198805271043"</f>
        <v>142633198805271043</v>
      </c>
      <c r="D5522" t="str">
        <f>"248030500817"</f>
        <v>248030500817</v>
      </c>
      <c r="L5522">
        <v>7049</v>
      </c>
      <c r="M5522" t="s">
        <v>5850</v>
      </c>
      <c r="N5522" t="str">
        <f>"248030500817"</f>
        <v>248030500817</v>
      </c>
      <c r="O5522" t="str">
        <f>"142633198805271043"</f>
        <v>142633198805271043</v>
      </c>
    </row>
    <row r="5523" customFormat="1" spans="1:15">
      <c r="A5523">
        <v>7052</v>
      </c>
      <c r="B5523" t="s">
        <v>5851</v>
      </c>
      <c r="C5523" t="str">
        <f>"460004199303192022"</f>
        <v>460004199303192022</v>
      </c>
      <c r="D5523" t="str">
        <f>"248030502706"</f>
        <v>248030502706</v>
      </c>
      <c r="L5523">
        <v>7052</v>
      </c>
      <c r="M5523" t="s">
        <v>5851</v>
      </c>
      <c r="N5523" t="str">
        <f>"248030502706"</f>
        <v>248030502706</v>
      </c>
      <c r="O5523" t="str">
        <f>"460004199303192022"</f>
        <v>460004199303192022</v>
      </c>
    </row>
    <row r="5524" customFormat="1" spans="1:15">
      <c r="A5524">
        <v>7053</v>
      </c>
      <c r="B5524" t="s">
        <v>5852</v>
      </c>
      <c r="C5524" t="str">
        <f>"460104199802071220"</f>
        <v>460104199802071220</v>
      </c>
      <c r="D5524" t="str">
        <f>"248030403928"</f>
        <v>248030403928</v>
      </c>
      <c r="L5524">
        <v>7053</v>
      </c>
      <c r="M5524" t="s">
        <v>5852</v>
      </c>
      <c r="N5524" t="str">
        <f>"248030403928"</f>
        <v>248030403928</v>
      </c>
      <c r="O5524" t="str">
        <f>"460104199802071220"</f>
        <v>460104199802071220</v>
      </c>
    </row>
    <row r="5525" customFormat="1" spans="1:15">
      <c r="A5525">
        <v>7054</v>
      </c>
      <c r="B5525" t="s">
        <v>5853</v>
      </c>
      <c r="C5525" t="str">
        <f>"220182200008050422"</f>
        <v>220182200008050422</v>
      </c>
      <c r="D5525" t="str">
        <f>"248030402717"</f>
        <v>248030402717</v>
      </c>
      <c r="L5525">
        <v>7054</v>
      </c>
      <c r="M5525" t="s">
        <v>5853</v>
      </c>
      <c r="N5525" t="str">
        <f>"248030402717"</f>
        <v>248030402717</v>
      </c>
      <c r="O5525" t="str">
        <f>"220182200008050422"</f>
        <v>220182200008050422</v>
      </c>
    </row>
    <row r="5526" customFormat="1" spans="1:15">
      <c r="A5526">
        <v>7055</v>
      </c>
      <c r="B5526" t="s">
        <v>5854</v>
      </c>
      <c r="C5526" t="str">
        <f>"460022199501204322"</f>
        <v>460022199501204322</v>
      </c>
      <c r="D5526" t="str">
        <f>"248030101324"</f>
        <v>248030101324</v>
      </c>
      <c r="L5526">
        <v>7055</v>
      </c>
      <c r="M5526" t="s">
        <v>5854</v>
      </c>
      <c r="N5526" t="str">
        <f>"248030101324"</f>
        <v>248030101324</v>
      </c>
      <c r="O5526" t="str">
        <f>"460022199501204322"</f>
        <v>460022199501204322</v>
      </c>
    </row>
    <row r="5527" customFormat="1" spans="1:15">
      <c r="A5527">
        <v>7057</v>
      </c>
      <c r="B5527" t="s">
        <v>5855</v>
      </c>
      <c r="C5527" t="str">
        <f>"460030199605304221"</f>
        <v>460030199605304221</v>
      </c>
      <c r="D5527" t="str">
        <f>"248030503412"</f>
        <v>248030503412</v>
      </c>
      <c r="L5527">
        <v>7057</v>
      </c>
      <c r="M5527" t="s">
        <v>5855</v>
      </c>
      <c r="N5527" t="str">
        <f>"248030503412"</f>
        <v>248030503412</v>
      </c>
      <c r="O5527" t="str">
        <f>"460030199605304221"</f>
        <v>460030199605304221</v>
      </c>
    </row>
    <row r="5528" customFormat="1" spans="1:15">
      <c r="A5528">
        <v>7058</v>
      </c>
      <c r="B5528" t="s">
        <v>5856</v>
      </c>
      <c r="C5528" t="str">
        <f>"46003219920327902X"</f>
        <v>46003219920327902X</v>
      </c>
      <c r="D5528" t="str">
        <f>"248030403802"</f>
        <v>248030403802</v>
      </c>
      <c r="L5528">
        <v>7058</v>
      </c>
      <c r="M5528" t="s">
        <v>5856</v>
      </c>
      <c r="N5528" t="str">
        <f>"248030403802"</f>
        <v>248030403802</v>
      </c>
      <c r="O5528" t="str">
        <f>"46003219920327902X"</f>
        <v>46003219920327902X</v>
      </c>
    </row>
    <row r="5529" customFormat="1" spans="1:15">
      <c r="A5529">
        <v>7059</v>
      </c>
      <c r="B5529" t="s">
        <v>5857</v>
      </c>
      <c r="C5529" t="str">
        <f>"460005200203223030"</f>
        <v>460005200203223030</v>
      </c>
      <c r="D5529" t="str">
        <f>"248030200213"</f>
        <v>248030200213</v>
      </c>
      <c r="L5529">
        <v>7059</v>
      </c>
      <c r="M5529" t="s">
        <v>5857</v>
      </c>
      <c r="N5529" t="str">
        <f>"248030200213"</f>
        <v>248030200213</v>
      </c>
      <c r="O5529" t="str">
        <f>"460005200203223030"</f>
        <v>460005200203223030</v>
      </c>
    </row>
    <row r="5530" customFormat="1" spans="1:15">
      <c r="A5530">
        <v>7060</v>
      </c>
      <c r="B5530" t="s">
        <v>5858</v>
      </c>
      <c r="C5530" t="str">
        <f>"460006200102212945"</f>
        <v>460006200102212945</v>
      </c>
      <c r="L5530">
        <v>7060</v>
      </c>
      <c r="M5530" t="s">
        <v>5858</v>
      </c>
      <c r="O5530" t="str">
        <f>"460006200102212945"</f>
        <v>460006200102212945</v>
      </c>
    </row>
    <row r="5531" customFormat="1" spans="1:15">
      <c r="A5531">
        <v>7062</v>
      </c>
      <c r="B5531" t="s">
        <v>5859</v>
      </c>
      <c r="C5531" t="str">
        <f>"460004200006112028"</f>
        <v>460004200006112028</v>
      </c>
      <c r="D5531" t="str">
        <f>"248030301215"</f>
        <v>248030301215</v>
      </c>
      <c r="L5531">
        <v>7062</v>
      </c>
      <c r="M5531" t="s">
        <v>5859</v>
      </c>
      <c r="N5531" t="str">
        <f>"248030301215"</f>
        <v>248030301215</v>
      </c>
      <c r="O5531" t="str">
        <f>"460004200006112028"</f>
        <v>460004200006112028</v>
      </c>
    </row>
    <row r="5532" customFormat="1" spans="1:15">
      <c r="A5532">
        <v>7063</v>
      </c>
      <c r="B5532" t="s">
        <v>5860</v>
      </c>
      <c r="C5532" t="str">
        <f>"460026200204241224"</f>
        <v>460026200204241224</v>
      </c>
      <c r="D5532" t="str">
        <f>"248030500328"</f>
        <v>248030500328</v>
      </c>
      <c r="L5532">
        <v>7063</v>
      </c>
      <c r="M5532" t="s">
        <v>5860</v>
      </c>
      <c r="N5532" t="str">
        <f>"248030500328"</f>
        <v>248030500328</v>
      </c>
      <c r="O5532" t="str">
        <f>"460026200204241224"</f>
        <v>460026200204241224</v>
      </c>
    </row>
    <row r="5533" customFormat="1" spans="1:15">
      <c r="A5533">
        <v>7064</v>
      </c>
      <c r="B5533" t="s">
        <v>5861</v>
      </c>
      <c r="C5533" t="str">
        <f>"460007199912084384"</f>
        <v>460007199912084384</v>
      </c>
      <c r="D5533" t="str">
        <f>"248030103306"</f>
        <v>248030103306</v>
      </c>
      <c r="L5533">
        <v>7064</v>
      </c>
      <c r="M5533" t="s">
        <v>5861</v>
      </c>
      <c r="N5533" t="str">
        <f>"248030103306"</f>
        <v>248030103306</v>
      </c>
      <c r="O5533" t="str">
        <f>"460007199912084384"</f>
        <v>460007199912084384</v>
      </c>
    </row>
    <row r="5534" customFormat="1" spans="1:15">
      <c r="A5534">
        <v>7065</v>
      </c>
      <c r="B5534">
        <v>4.6002819960208e+18</v>
      </c>
      <c r="C5534" t="str">
        <f>"460028199602080064"</f>
        <v>460028199602080064</v>
      </c>
      <c r="L5534">
        <v>7065</v>
      </c>
      <c r="M5534">
        <v>4.6002819960208e+18</v>
      </c>
      <c r="O5534" t="str">
        <f>"460028199602080064"</f>
        <v>460028199602080064</v>
      </c>
    </row>
    <row r="5535" customFormat="1" spans="1:15">
      <c r="A5535">
        <v>7066</v>
      </c>
      <c r="B5535" t="s">
        <v>5862</v>
      </c>
      <c r="C5535" t="str">
        <f>"460026199409274227"</f>
        <v>460026199409274227</v>
      </c>
      <c r="D5535" t="str">
        <f>"248030100719"</f>
        <v>248030100719</v>
      </c>
      <c r="L5535">
        <v>7066</v>
      </c>
      <c r="M5535" t="s">
        <v>5862</v>
      </c>
      <c r="N5535" t="str">
        <f>"248030100719"</f>
        <v>248030100719</v>
      </c>
      <c r="O5535" t="str">
        <f>"460026199409274227"</f>
        <v>460026199409274227</v>
      </c>
    </row>
    <row r="5536" customFormat="1" spans="1:15">
      <c r="A5536">
        <v>7068</v>
      </c>
      <c r="B5536" t="s">
        <v>5863</v>
      </c>
      <c r="C5536" t="str">
        <f>"460003200104025415"</f>
        <v>460003200104025415</v>
      </c>
      <c r="D5536" t="str">
        <f>"248030400224"</f>
        <v>248030400224</v>
      </c>
      <c r="L5536">
        <v>7068</v>
      </c>
      <c r="M5536" t="s">
        <v>5863</v>
      </c>
      <c r="N5536" t="str">
        <f>"248030400224"</f>
        <v>248030400224</v>
      </c>
      <c r="O5536" t="str">
        <f>"460003200104025415"</f>
        <v>460003200104025415</v>
      </c>
    </row>
    <row r="5537" customFormat="1" spans="1:15">
      <c r="A5537">
        <v>7070</v>
      </c>
      <c r="B5537" t="s">
        <v>5864</v>
      </c>
      <c r="C5537" t="str">
        <f>"469003199507085626"</f>
        <v>469003199507085626</v>
      </c>
      <c r="D5537" t="str">
        <f>"248030203904"</f>
        <v>248030203904</v>
      </c>
      <c r="L5537">
        <v>7070</v>
      </c>
      <c r="M5537" t="s">
        <v>5864</v>
      </c>
      <c r="N5537" t="str">
        <f>"248030203904"</f>
        <v>248030203904</v>
      </c>
      <c r="O5537" t="str">
        <f>"469003199507085626"</f>
        <v>469003199507085626</v>
      </c>
    </row>
    <row r="5538" customFormat="1" spans="1:15">
      <c r="A5538">
        <v>7071</v>
      </c>
      <c r="B5538" t="s">
        <v>5865</v>
      </c>
      <c r="C5538" t="str">
        <f>"460002200112121523"</f>
        <v>460002200112121523</v>
      </c>
      <c r="D5538" t="str">
        <f>"248030403123"</f>
        <v>248030403123</v>
      </c>
      <c r="L5538">
        <v>7071</v>
      </c>
      <c r="M5538" t="s">
        <v>5865</v>
      </c>
      <c r="N5538" t="str">
        <f>"248030403123"</f>
        <v>248030403123</v>
      </c>
      <c r="O5538" t="str">
        <f>"460002200112121523"</f>
        <v>460002200112121523</v>
      </c>
    </row>
    <row r="5539" customFormat="1" spans="1:15">
      <c r="A5539">
        <v>7072</v>
      </c>
      <c r="B5539" t="s">
        <v>5866</v>
      </c>
      <c r="C5539" t="str">
        <f>"460105200206257143"</f>
        <v>460105200206257143</v>
      </c>
      <c r="D5539" t="str">
        <f>"248030300916"</f>
        <v>248030300916</v>
      </c>
      <c r="L5539">
        <v>7072</v>
      </c>
      <c r="M5539" t="s">
        <v>5866</v>
      </c>
      <c r="N5539" t="str">
        <f>"248030300916"</f>
        <v>248030300916</v>
      </c>
      <c r="O5539" t="str">
        <f>"460105200206257143"</f>
        <v>460105200206257143</v>
      </c>
    </row>
    <row r="5540" customFormat="1" spans="1:15">
      <c r="A5540">
        <v>7073</v>
      </c>
      <c r="B5540" t="s">
        <v>5867</v>
      </c>
      <c r="C5540" t="str">
        <f>"46020019931115534X"</f>
        <v>46020019931115534X</v>
      </c>
      <c r="D5540" t="str">
        <f>"248030104303"</f>
        <v>248030104303</v>
      </c>
      <c r="L5540">
        <v>7073</v>
      </c>
      <c r="M5540" t="s">
        <v>5867</v>
      </c>
      <c r="N5540" t="str">
        <f>"248030104303"</f>
        <v>248030104303</v>
      </c>
      <c r="O5540" t="str">
        <f>"46020019931115534X"</f>
        <v>46020019931115534X</v>
      </c>
    </row>
    <row r="5541" customFormat="1" spans="1:15">
      <c r="A5541">
        <v>7074</v>
      </c>
      <c r="B5541" t="s">
        <v>5868</v>
      </c>
      <c r="C5541" t="str">
        <f>"460003199910228510"</f>
        <v>460003199910228510</v>
      </c>
      <c r="D5541" t="str">
        <f>"248030201529"</f>
        <v>248030201529</v>
      </c>
      <c r="L5541">
        <v>7074</v>
      </c>
      <c r="M5541" t="s">
        <v>5868</v>
      </c>
      <c r="N5541" t="str">
        <f>"248030201529"</f>
        <v>248030201529</v>
      </c>
      <c r="O5541" t="str">
        <f>"460003199910228510"</f>
        <v>460003199910228510</v>
      </c>
    </row>
    <row r="5542" customFormat="1" spans="1:15">
      <c r="A5542">
        <v>7076</v>
      </c>
      <c r="B5542" t="s">
        <v>5869</v>
      </c>
      <c r="C5542" t="str">
        <f>"460006199608104022"</f>
        <v>460006199608104022</v>
      </c>
      <c r="D5542" t="str">
        <f>"248030100318"</f>
        <v>248030100318</v>
      </c>
      <c r="L5542">
        <v>7076</v>
      </c>
      <c r="M5542" t="s">
        <v>5869</v>
      </c>
      <c r="N5542" t="str">
        <f>"248030100318"</f>
        <v>248030100318</v>
      </c>
      <c r="O5542" t="str">
        <f>"460006199608104022"</f>
        <v>460006199608104022</v>
      </c>
    </row>
    <row r="5543" customFormat="1" spans="1:15">
      <c r="A5543">
        <v>7077</v>
      </c>
      <c r="B5543" t="s">
        <v>5870</v>
      </c>
      <c r="C5543" t="str">
        <f>"460026200208230020"</f>
        <v>460026200208230020</v>
      </c>
      <c r="D5543" t="str">
        <f>"248030300513"</f>
        <v>248030300513</v>
      </c>
      <c r="L5543">
        <v>7077</v>
      </c>
      <c r="M5543" t="s">
        <v>5870</v>
      </c>
      <c r="N5543" t="str">
        <f>"248030300513"</f>
        <v>248030300513</v>
      </c>
      <c r="O5543" t="str">
        <f>"460026200208230020"</f>
        <v>460026200208230020</v>
      </c>
    </row>
    <row r="5544" customFormat="1" spans="1:15">
      <c r="A5544">
        <v>7078</v>
      </c>
      <c r="B5544" t="s">
        <v>5871</v>
      </c>
      <c r="C5544" t="str">
        <f>"469023199804231322"</f>
        <v>469023199804231322</v>
      </c>
      <c r="D5544" t="str">
        <f>"248030200505"</f>
        <v>248030200505</v>
      </c>
      <c r="L5544">
        <v>7078</v>
      </c>
      <c r="M5544" t="s">
        <v>5871</v>
      </c>
      <c r="N5544" t="str">
        <f>"248030200505"</f>
        <v>248030200505</v>
      </c>
      <c r="O5544" t="str">
        <f>"469023199804231322"</f>
        <v>469023199804231322</v>
      </c>
    </row>
    <row r="5545" customFormat="1" spans="1:15">
      <c r="A5545">
        <v>7079</v>
      </c>
      <c r="B5545" t="s">
        <v>5872</v>
      </c>
      <c r="C5545" t="str">
        <f>"46900319940703301X"</f>
        <v>46900319940703301X</v>
      </c>
      <c r="L5545">
        <v>7079</v>
      </c>
      <c r="M5545" t="s">
        <v>5872</v>
      </c>
      <c r="O5545" t="str">
        <f>"46900319940703301X"</f>
        <v>46900319940703301X</v>
      </c>
    </row>
    <row r="5546" customFormat="1" spans="1:15">
      <c r="A5546">
        <v>7080</v>
      </c>
      <c r="B5546" t="s">
        <v>5873</v>
      </c>
      <c r="C5546" t="str">
        <f>"460006199601037226"</f>
        <v>460006199601037226</v>
      </c>
      <c r="D5546" t="str">
        <f>"248030503313"</f>
        <v>248030503313</v>
      </c>
      <c r="L5546">
        <v>7080</v>
      </c>
      <c r="M5546" t="s">
        <v>5873</v>
      </c>
      <c r="N5546" t="str">
        <f>"248030503313"</f>
        <v>248030503313</v>
      </c>
      <c r="O5546" t="str">
        <f>"460006199601037226"</f>
        <v>460006199601037226</v>
      </c>
    </row>
    <row r="5547" customFormat="1" spans="1:15">
      <c r="A5547">
        <v>7081</v>
      </c>
      <c r="B5547" t="s">
        <v>5874</v>
      </c>
      <c r="C5547" t="str">
        <f>"460006200102106528"</f>
        <v>460006200102106528</v>
      </c>
      <c r="D5547" t="str">
        <f>"248030201909"</f>
        <v>248030201909</v>
      </c>
      <c r="L5547">
        <v>7081</v>
      </c>
      <c r="M5547" t="s">
        <v>5874</v>
      </c>
      <c r="N5547" t="str">
        <f>"248030201909"</f>
        <v>248030201909</v>
      </c>
      <c r="O5547" t="str">
        <f>"460006200102106528"</f>
        <v>460006200102106528</v>
      </c>
    </row>
    <row r="5548" customFormat="1" spans="1:15">
      <c r="A5548">
        <v>7082</v>
      </c>
      <c r="B5548" t="s">
        <v>5875</v>
      </c>
      <c r="C5548" t="str">
        <f>"460003199908126021"</f>
        <v>460003199908126021</v>
      </c>
      <c r="L5548">
        <v>7082</v>
      </c>
      <c r="M5548" t="s">
        <v>5875</v>
      </c>
      <c r="O5548" t="str">
        <f>"460003199908126021"</f>
        <v>460003199908126021</v>
      </c>
    </row>
    <row r="5549" customFormat="1" spans="1:15">
      <c r="A5549">
        <v>7083</v>
      </c>
      <c r="B5549" t="s">
        <v>523</v>
      </c>
      <c r="C5549" t="str">
        <f>"460103199611093025"</f>
        <v>460103199611093025</v>
      </c>
      <c r="D5549" t="str">
        <f>"248030403504"</f>
        <v>248030403504</v>
      </c>
      <c r="L5549">
        <v>7083</v>
      </c>
      <c r="M5549" t="s">
        <v>523</v>
      </c>
      <c r="N5549" t="str">
        <f>"248030403504"</f>
        <v>248030403504</v>
      </c>
      <c r="O5549" t="str">
        <f>"460103199611093025"</f>
        <v>460103199611093025</v>
      </c>
    </row>
    <row r="5550" customFormat="1" spans="1:15">
      <c r="A5550">
        <v>7084</v>
      </c>
      <c r="B5550" t="s">
        <v>5876</v>
      </c>
      <c r="C5550" t="str">
        <f>"460031200012020022"</f>
        <v>460031200012020022</v>
      </c>
      <c r="D5550" t="str">
        <f>"248030202706"</f>
        <v>248030202706</v>
      </c>
      <c r="L5550">
        <v>7084</v>
      </c>
      <c r="M5550" t="s">
        <v>5876</v>
      </c>
      <c r="N5550" t="str">
        <f>"248030202706"</f>
        <v>248030202706</v>
      </c>
      <c r="O5550" t="str">
        <f>"460031200012020022"</f>
        <v>460031200012020022</v>
      </c>
    </row>
    <row r="5551" customFormat="1" spans="1:15">
      <c r="A5551">
        <v>7085</v>
      </c>
      <c r="B5551" t="s">
        <v>5877</v>
      </c>
      <c r="C5551" t="str">
        <f>"460002198806134126"</f>
        <v>460002198806134126</v>
      </c>
      <c r="D5551" t="str">
        <f>"248030502130"</f>
        <v>248030502130</v>
      </c>
      <c r="L5551">
        <v>7085</v>
      </c>
      <c r="M5551" t="s">
        <v>5877</v>
      </c>
      <c r="N5551" t="str">
        <f>"248030502130"</f>
        <v>248030502130</v>
      </c>
      <c r="O5551" t="str">
        <f>"460002198806134126"</f>
        <v>460002198806134126</v>
      </c>
    </row>
    <row r="5552" customFormat="1" spans="1:15">
      <c r="A5552">
        <v>7087</v>
      </c>
      <c r="B5552" t="s">
        <v>477</v>
      </c>
      <c r="C5552" t="str">
        <f>"460036200004274526"</f>
        <v>460036200004274526</v>
      </c>
      <c r="L5552">
        <v>7087</v>
      </c>
      <c r="M5552" t="s">
        <v>477</v>
      </c>
      <c r="O5552" t="str">
        <f>"460036200004274526"</f>
        <v>460036200004274526</v>
      </c>
    </row>
    <row r="5553" customFormat="1" spans="1:15">
      <c r="A5553">
        <v>7088</v>
      </c>
      <c r="B5553" t="s">
        <v>5878</v>
      </c>
      <c r="C5553" t="str">
        <f>"460003199704162469"</f>
        <v>460003199704162469</v>
      </c>
      <c r="D5553" t="str">
        <f>"248030501326"</f>
        <v>248030501326</v>
      </c>
      <c r="L5553">
        <v>7088</v>
      </c>
      <c r="M5553" t="s">
        <v>5878</v>
      </c>
      <c r="N5553" t="str">
        <f>"248030501326"</f>
        <v>248030501326</v>
      </c>
      <c r="O5553" t="str">
        <f>"460003199704162469"</f>
        <v>460003199704162469</v>
      </c>
    </row>
    <row r="5554" customFormat="1" spans="1:15">
      <c r="A5554">
        <v>7089</v>
      </c>
      <c r="B5554" t="s">
        <v>5879</v>
      </c>
      <c r="C5554" t="str">
        <f>"46010220000531152X"</f>
        <v>46010220000531152X</v>
      </c>
      <c r="D5554" t="str">
        <f>"248030102319"</f>
        <v>248030102319</v>
      </c>
      <c r="L5554">
        <v>7089</v>
      </c>
      <c r="M5554" t="s">
        <v>5879</v>
      </c>
      <c r="N5554" t="str">
        <f>"248030102319"</f>
        <v>248030102319</v>
      </c>
      <c r="O5554" t="str">
        <f>"46010220000531152X"</f>
        <v>46010220000531152X</v>
      </c>
    </row>
    <row r="5555" customFormat="1" spans="1:15">
      <c r="A5555">
        <v>7090</v>
      </c>
      <c r="B5555" t="s">
        <v>5880</v>
      </c>
      <c r="C5555" t="str">
        <f>"460026200007313620"</f>
        <v>460026200007313620</v>
      </c>
      <c r="D5555" t="str">
        <f>"248030104308"</f>
        <v>248030104308</v>
      </c>
      <c r="L5555">
        <v>7090</v>
      </c>
      <c r="M5555" t="s">
        <v>5880</v>
      </c>
      <c r="N5555" t="str">
        <f>"248030104308"</f>
        <v>248030104308</v>
      </c>
      <c r="O5555" t="str">
        <f>"460026200007313620"</f>
        <v>460026200007313620</v>
      </c>
    </row>
    <row r="5556" customFormat="1" spans="1:15">
      <c r="A5556">
        <v>7091</v>
      </c>
      <c r="B5556" t="s">
        <v>5881</v>
      </c>
      <c r="C5556" t="str">
        <f>"460027199505011343"</f>
        <v>460027199505011343</v>
      </c>
      <c r="D5556" t="str">
        <f>"248030501324"</f>
        <v>248030501324</v>
      </c>
      <c r="L5556">
        <v>7091</v>
      </c>
      <c r="M5556" t="s">
        <v>5881</v>
      </c>
      <c r="N5556" t="str">
        <f>"248030501324"</f>
        <v>248030501324</v>
      </c>
      <c r="O5556" t="str">
        <f>"460027199505011343"</f>
        <v>460027199505011343</v>
      </c>
    </row>
    <row r="5557" customFormat="1" spans="1:15">
      <c r="A5557">
        <v>7092</v>
      </c>
      <c r="B5557" t="s">
        <v>5882</v>
      </c>
      <c r="C5557" t="str">
        <f>"230281198905060218"</f>
        <v>230281198905060218</v>
      </c>
      <c r="L5557">
        <v>7092</v>
      </c>
      <c r="M5557" t="s">
        <v>5882</v>
      </c>
      <c r="O5557" t="str">
        <f>"230281198905060218"</f>
        <v>230281198905060218</v>
      </c>
    </row>
    <row r="5558" customFormat="1" spans="1:15">
      <c r="A5558">
        <v>7093</v>
      </c>
      <c r="B5558" t="s">
        <v>5883</v>
      </c>
      <c r="C5558" t="str">
        <f>"460005199806081718"</f>
        <v>460005199806081718</v>
      </c>
      <c r="D5558" t="str">
        <f>"248030202310"</f>
        <v>248030202310</v>
      </c>
      <c r="L5558">
        <v>7093</v>
      </c>
      <c r="M5558" t="s">
        <v>5883</v>
      </c>
      <c r="N5558" t="str">
        <f>"248030202310"</f>
        <v>248030202310</v>
      </c>
      <c r="O5558" t="str">
        <f>"460005199806081718"</f>
        <v>460005199806081718</v>
      </c>
    </row>
    <row r="5559" customFormat="1" spans="1:15">
      <c r="A5559">
        <v>7094</v>
      </c>
      <c r="B5559" t="s">
        <v>5884</v>
      </c>
      <c r="C5559" t="str">
        <f>"46003020020101002X"</f>
        <v>46003020020101002X</v>
      </c>
      <c r="L5559">
        <v>7094</v>
      </c>
      <c r="M5559" t="s">
        <v>5884</v>
      </c>
      <c r="O5559" t="str">
        <f>"46003020020101002X"</f>
        <v>46003020020101002X</v>
      </c>
    </row>
    <row r="5560" customFormat="1" spans="1:15">
      <c r="A5560">
        <v>7095</v>
      </c>
      <c r="B5560" t="s">
        <v>5885</v>
      </c>
      <c r="C5560" t="str">
        <f>"460103199609282724"</f>
        <v>460103199609282724</v>
      </c>
      <c r="D5560" t="str">
        <f>"248030300226"</f>
        <v>248030300226</v>
      </c>
      <c r="L5560">
        <v>7095</v>
      </c>
      <c r="M5560" t="s">
        <v>5885</v>
      </c>
      <c r="N5560" t="str">
        <f>"248030300226"</f>
        <v>248030300226</v>
      </c>
      <c r="O5560" t="str">
        <f>"460103199609282724"</f>
        <v>460103199609282724</v>
      </c>
    </row>
    <row r="5561" customFormat="1" spans="1:15">
      <c r="A5561">
        <v>7096</v>
      </c>
      <c r="B5561" t="s">
        <v>5886</v>
      </c>
      <c r="C5561" t="str">
        <f>"460103200212131229"</f>
        <v>460103200212131229</v>
      </c>
      <c r="L5561">
        <v>7096</v>
      </c>
      <c r="M5561" t="s">
        <v>5886</v>
      </c>
      <c r="O5561" t="str">
        <f>"460103200212131229"</f>
        <v>460103200212131229</v>
      </c>
    </row>
    <row r="5562" customFormat="1" spans="1:15">
      <c r="A5562">
        <v>7097</v>
      </c>
      <c r="B5562" t="s">
        <v>5887</v>
      </c>
      <c r="C5562" t="str">
        <f>"460006200103082329"</f>
        <v>460006200103082329</v>
      </c>
      <c r="D5562" t="str">
        <f>"248030302303"</f>
        <v>248030302303</v>
      </c>
      <c r="L5562">
        <v>7097</v>
      </c>
      <c r="M5562" t="s">
        <v>5887</v>
      </c>
      <c r="N5562" t="str">
        <f>"248030302303"</f>
        <v>248030302303</v>
      </c>
      <c r="O5562" t="str">
        <f>"460006200103082329"</f>
        <v>460006200103082329</v>
      </c>
    </row>
    <row r="5563" customFormat="1" spans="1:15">
      <c r="A5563">
        <v>7098</v>
      </c>
      <c r="B5563" t="s">
        <v>5888</v>
      </c>
      <c r="C5563" t="str">
        <f>"460004199409150445"</f>
        <v>460004199409150445</v>
      </c>
      <c r="D5563" t="str">
        <f>"248030501327"</f>
        <v>248030501327</v>
      </c>
      <c r="L5563">
        <v>7098</v>
      </c>
      <c r="M5563" t="s">
        <v>5888</v>
      </c>
      <c r="N5563" t="str">
        <f>"248030501327"</f>
        <v>248030501327</v>
      </c>
      <c r="O5563" t="str">
        <f>"460004199409150445"</f>
        <v>460004199409150445</v>
      </c>
    </row>
    <row r="5564" customFormat="1" spans="1:15">
      <c r="A5564">
        <v>7099</v>
      </c>
      <c r="B5564" t="s">
        <v>5889</v>
      </c>
      <c r="C5564" t="str">
        <f>"460002200103260329"</f>
        <v>460002200103260329</v>
      </c>
      <c r="D5564" t="str">
        <f>"248030101222"</f>
        <v>248030101222</v>
      </c>
      <c r="L5564">
        <v>7099</v>
      </c>
      <c r="M5564" t="s">
        <v>5889</v>
      </c>
      <c r="N5564" t="str">
        <f>"248030101222"</f>
        <v>248030101222</v>
      </c>
      <c r="O5564" t="str">
        <f>"460002200103260329"</f>
        <v>460002200103260329</v>
      </c>
    </row>
    <row r="5565" customFormat="1" spans="1:15">
      <c r="A5565">
        <v>7100</v>
      </c>
      <c r="B5565" t="s">
        <v>5890</v>
      </c>
      <c r="C5565" t="str">
        <f>"460200198906012503"</f>
        <v>460200198906012503</v>
      </c>
      <c r="D5565" t="str">
        <f>"248030104304"</f>
        <v>248030104304</v>
      </c>
      <c r="L5565">
        <v>7100</v>
      </c>
      <c r="M5565" t="s">
        <v>5890</v>
      </c>
      <c r="N5565" t="str">
        <f>"248030104304"</f>
        <v>248030104304</v>
      </c>
      <c r="O5565" t="str">
        <f>"460200198906012503"</f>
        <v>460200198906012503</v>
      </c>
    </row>
    <row r="5566" customFormat="1" spans="1:15">
      <c r="A5566">
        <v>7101</v>
      </c>
      <c r="B5566" t="s">
        <v>5891</v>
      </c>
      <c r="C5566" t="str">
        <f>"450481199602170029"</f>
        <v>450481199602170029</v>
      </c>
      <c r="L5566">
        <v>7101</v>
      </c>
      <c r="M5566" t="s">
        <v>5891</v>
      </c>
      <c r="O5566" t="str">
        <f>"450481199602170029"</f>
        <v>450481199602170029</v>
      </c>
    </row>
    <row r="5567" customFormat="1" spans="1:15">
      <c r="A5567">
        <v>7102</v>
      </c>
      <c r="B5567" t="s">
        <v>5892</v>
      </c>
      <c r="C5567" t="str">
        <f>"460033199902035370"</f>
        <v>460033199902035370</v>
      </c>
      <c r="D5567" t="str">
        <f>"248030201608"</f>
        <v>248030201608</v>
      </c>
      <c r="L5567">
        <v>7102</v>
      </c>
      <c r="M5567" t="s">
        <v>5892</v>
      </c>
      <c r="N5567" t="str">
        <f>"248030201608"</f>
        <v>248030201608</v>
      </c>
      <c r="O5567" t="str">
        <f>"460033199902035370"</f>
        <v>460033199902035370</v>
      </c>
    </row>
    <row r="5568" customFormat="1" spans="1:15">
      <c r="A5568">
        <v>7103</v>
      </c>
      <c r="B5568" t="s">
        <v>5893</v>
      </c>
      <c r="C5568" t="str">
        <f>"460005199905030019"</f>
        <v>460005199905030019</v>
      </c>
      <c r="L5568">
        <v>7103</v>
      </c>
      <c r="M5568" t="s">
        <v>5893</v>
      </c>
      <c r="O5568" t="str">
        <f>"460005199905030019"</f>
        <v>460005199905030019</v>
      </c>
    </row>
    <row r="5569" customFormat="1" spans="1:15">
      <c r="A5569">
        <v>7105</v>
      </c>
      <c r="B5569" t="s">
        <v>5894</v>
      </c>
      <c r="C5569" t="str">
        <f>"460003199405124657"</f>
        <v>460003199405124657</v>
      </c>
      <c r="L5569">
        <v>7105</v>
      </c>
      <c r="M5569" t="s">
        <v>5894</v>
      </c>
      <c r="O5569" t="str">
        <f>"460003199405124657"</f>
        <v>460003199405124657</v>
      </c>
    </row>
    <row r="5570" customFormat="1" spans="1:15">
      <c r="A5570">
        <v>7106</v>
      </c>
      <c r="B5570" t="s">
        <v>5895</v>
      </c>
      <c r="C5570" t="str">
        <f>"460033200005173584"</f>
        <v>460033200005173584</v>
      </c>
      <c r="D5570" t="str">
        <f>"248030300529"</f>
        <v>248030300529</v>
      </c>
      <c r="L5570">
        <v>7106</v>
      </c>
      <c r="M5570" t="s">
        <v>5895</v>
      </c>
      <c r="N5570" t="str">
        <f>"248030300529"</f>
        <v>248030300529</v>
      </c>
      <c r="O5570" t="str">
        <f>"460033200005173584"</f>
        <v>460033200005173584</v>
      </c>
    </row>
    <row r="5571" customFormat="1" spans="1:15">
      <c r="A5571">
        <v>7108</v>
      </c>
      <c r="B5571" t="s">
        <v>5896</v>
      </c>
      <c r="C5571" t="str">
        <f>"460026199903070019"</f>
        <v>460026199903070019</v>
      </c>
      <c r="L5571">
        <v>7108</v>
      </c>
      <c r="M5571" t="s">
        <v>5896</v>
      </c>
      <c r="O5571" t="str">
        <f>"460026199903070019"</f>
        <v>460026199903070019</v>
      </c>
    </row>
    <row r="5572" customFormat="1" spans="1:15">
      <c r="A5572">
        <v>7109</v>
      </c>
      <c r="B5572" t="s">
        <v>5897</v>
      </c>
      <c r="C5572" t="str">
        <f>"460006199901305229"</f>
        <v>460006199901305229</v>
      </c>
      <c r="D5572" t="str">
        <f>"248030402709"</f>
        <v>248030402709</v>
      </c>
      <c r="L5572">
        <v>7109</v>
      </c>
      <c r="M5572" t="s">
        <v>5897</v>
      </c>
      <c r="N5572" t="str">
        <f>"248030402709"</f>
        <v>248030402709</v>
      </c>
      <c r="O5572" t="str">
        <f>"460006199901305229"</f>
        <v>460006199901305229</v>
      </c>
    </row>
    <row r="5573" customFormat="1" spans="1:15">
      <c r="A5573">
        <v>7111</v>
      </c>
      <c r="B5573" t="s">
        <v>5898</v>
      </c>
      <c r="C5573" t="str">
        <f>"46902519990122512X"</f>
        <v>46902519990122512X</v>
      </c>
      <c r="D5573" t="str">
        <f>"248030300319"</f>
        <v>248030300319</v>
      </c>
      <c r="L5573">
        <v>7111</v>
      </c>
      <c r="M5573" t="s">
        <v>5898</v>
      </c>
      <c r="N5573" t="str">
        <f>"248030300319"</f>
        <v>248030300319</v>
      </c>
      <c r="O5573" t="str">
        <f>"46902519990122512X"</f>
        <v>46902519990122512X</v>
      </c>
    </row>
    <row r="5574" customFormat="1" spans="1:15">
      <c r="A5574">
        <v>7112</v>
      </c>
      <c r="B5574" t="s">
        <v>5899</v>
      </c>
      <c r="C5574" t="str">
        <f>"46000619990813272X"</f>
        <v>46000619990813272X</v>
      </c>
      <c r="D5574" t="str">
        <f>"248030203514"</f>
        <v>248030203514</v>
      </c>
      <c r="L5574">
        <v>7112</v>
      </c>
      <c r="M5574" t="s">
        <v>5899</v>
      </c>
      <c r="N5574" t="str">
        <f>"248030203514"</f>
        <v>248030203514</v>
      </c>
      <c r="O5574" t="str">
        <f>"46000619990813272X"</f>
        <v>46000619990813272X</v>
      </c>
    </row>
    <row r="5575" customFormat="1" spans="1:15">
      <c r="A5575">
        <v>7113</v>
      </c>
      <c r="B5575" t="s">
        <v>5900</v>
      </c>
      <c r="C5575" t="str">
        <f>"460031199412285243"</f>
        <v>460031199412285243</v>
      </c>
      <c r="D5575" t="str">
        <f>"248030101810"</f>
        <v>248030101810</v>
      </c>
      <c r="L5575">
        <v>7113</v>
      </c>
      <c r="M5575" t="s">
        <v>5900</v>
      </c>
      <c r="N5575" t="str">
        <f>"248030101810"</f>
        <v>248030101810</v>
      </c>
      <c r="O5575" t="str">
        <f>"460031199412285243"</f>
        <v>460031199412285243</v>
      </c>
    </row>
    <row r="5576" customFormat="1" spans="1:15">
      <c r="A5576">
        <v>7115</v>
      </c>
      <c r="B5576" t="s">
        <v>5901</v>
      </c>
      <c r="C5576" t="str">
        <f>"460102200006230625"</f>
        <v>460102200006230625</v>
      </c>
      <c r="D5576" t="str">
        <f>"248030101307"</f>
        <v>248030101307</v>
      </c>
      <c r="L5576">
        <v>7115</v>
      </c>
      <c r="M5576" t="s">
        <v>5901</v>
      </c>
      <c r="N5576" t="str">
        <f>"248030101307"</f>
        <v>248030101307</v>
      </c>
      <c r="O5576" t="str">
        <f>"460102200006230625"</f>
        <v>460102200006230625</v>
      </c>
    </row>
    <row r="5577" customFormat="1" spans="1:15">
      <c r="A5577">
        <v>7116</v>
      </c>
      <c r="B5577" t="s">
        <v>156</v>
      </c>
      <c r="C5577" t="str">
        <f>"460028199904250823"</f>
        <v>460028199904250823</v>
      </c>
      <c r="D5577" t="str">
        <f>"248030301408"</f>
        <v>248030301408</v>
      </c>
      <c r="L5577">
        <v>7116</v>
      </c>
      <c r="M5577" t="s">
        <v>156</v>
      </c>
      <c r="N5577" t="str">
        <f>"248030301408"</f>
        <v>248030301408</v>
      </c>
      <c r="O5577" t="str">
        <f>"460028199904250823"</f>
        <v>460028199904250823</v>
      </c>
    </row>
    <row r="5578" customFormat="1" spans="1:15">
      <c r="A5578">
        <v>7118</v>
      </c>
      <c r="B5578" t="s">
        <v>5902</v>
      </c>
      <c r="C5578" t="str">
        <f>"469007199912040021"</f>
        <v>469007199912040021</v>
      </c>
      <c r="D5578" t="str">
        <f>"248030101829"</f>
        <v>248030101829</v>
      </c>
      <c r="L5578">
        <v>7118</v>
      </c>
      <c r="M5578" t="s">
        <v>5902</v>
      </c>
      <c r="N5578" t="str">
        <f>"248030101829"</f>
        <v>248030101829</v>
      </c>
      <c r="O5578" t="str">
        <f>"469007199912040021"</f>
        <v>469007199912040021</v>
      </c>
    </row>
    <row r="5579" customFormat="1" spans="1:15">
      <c r="A5579">
        <v>7119</v>
      </c>
      <c r="B5579" t="s">
        <v>5903</v>
      </c>
      <c r="C5579" t="str">
        <f>"460003200202052820"</f>
        <v>460003200202052820</v>
      </c>
      <c r="L5579">
        <v>7119</v>
      </c>
      <c r="M5579" t="s">
        <v>5903</v>
      </c>
      <c r="O5579" t="str">
        <f>"460003200202052820"</f>
        <v>460003200202052820</v>
      </c>
    </row>
    <row r="5580" customFormat="1" spans="1:15">
      <c r="A5580">
        <v>7120</v>
      </c>
      <c r="B5580" t="s">
        <v>1840</v>
      </c>
      <c r="C5580" t="str">
        <f>"370831198910066286"</f>
        <v>370831198910066286</v>
      </c>
      <c r="L5580">
        <v>7120</v>
      </c>
      <c r="M5580" t="s">
        <v>1840</v>
      </c>
      <c r="O5580" t="str">
        <f>"370831198910066286"</f>
        <v>370831198910066286</v>
      </c>
    </row>
    <row r="5581" customFormat="1" spans="1:15">
      <c r="A5581">
        <v>7122</v>
      </c>
      <c r="B5581" t="s">
        <v>5904</v>
      </c>
      <c r="C5581" t="str">
        <f>"433130199408230430"</f>
        <v>433130199408230430</v>
      </c>
      <c r="L5581">
        <v>7122</v>
      </c>
      <c r="M5581" t="s">
        <v>5904</v>
      </c>
      <c r="O5581" t="str">
        <f>"433130199408230430"</f>
        <v>433130199408230430</v>
      </c>
    </row>
    <row r="5582" customFormat="1" spans="1:15">
      <c r="A5582">
        <v>7123</v>
      </c>
      <c r="B5582" t="s">
        <v>5905</v>
      </c>
      <c r="C5582" t="str">
        <f>"46002820000227002X"</f>
        <v>46002820000227002X</v>
      </c>
      <c r="D5582" t="str">
        <f>"248030401710"</f>
        <v>248030401710</v>
      </c>
      <c r="L5582">
        <v>7123</v>
      </c>
      <c r="M5582" t="s">
        <v>5905</v>
      </c>
      <c r="N5582" t="str">
        <f>"248030401710"</f>
        <v>248030401710</v>
      </c>
      <c r="O5582" t="str">
        <f>"46002820000227002X"</f>
        <v>46002820000227002X</v>
      </c>
    </row>
    <row r="5583" customFormat="1" spans="1:15">
      <c r="A5583">
        <v>7124</v>
      </c>
      <c r="B5583" t="s">
        <v>5906</v>
      </c>
      <c r="C5583" t="str">
        <f>"460007200203227229"</f>
        <v>460007200203227229</v>
      </c>
      <c r="D5583" t="str">
        <f>"248030402020"</f>
        <v>248030402020</v>
      </c>
      <c r="L5583">
        <v>7124</v>
      </c>
      <c r="M5583" t="s">
        <v>5906</v>
      </c>
      <c r="N5583" t="str">
        <f>"248030402020"</f>
        <v>248030402020</v>
      </c>
      <c r="O5583" t="str">
        <f>"460007200203227229"</f>
        <v>460007200203227229</v>
      </c>
    </row>
    <row r="5584" customFormat="1" spans="1:15">
      <c r="A5584">
        <v>7125</v>
      </c>
      <c r="B5584" t="s">
        <v>5907</v>
      </c>
      <c r="C5584" t="str">
        <f>"460005199508160725"</f>
        <v>460005199508160725</v>
      </c>
      <c r="D5584" t="str">
        <f>"248030501402"</f>
        <v>248030501402</v>
      </c>
      <c r="L5584">
        <v>7125</v>
      </c>
      <c r="M5584" t="s">
        <v>5907</v>
      </c>
      <c r="N5584" t="str">
        <f>"248030501402"</f>
        <v>248030501402</v>
      </c>
      <c r="O5584" t="str">
        <f>"460005199508160725"</f>
        <v>460005199508160725</v>
      </c>
    </row>
    <row r="5585" customFormat="1" spans="1:15">
      <c r="A5585">
        <v>7126</v>
      </c>
      <c r="B5585" t="s">
        <v>5908</v>
      </c>
      <c r="C5585" t="str">
        <f>"350725198912260588"</f>
        <v>350725198912260588</v>
      </c>
      <c r="D5585" t="str">
        <f>"248030200308"</f>
        <v>248030200308</v>
      </c>
      <c r="L5585">
        <v>7126</v>
      </c>
      <c r="M5585" t="s">
        <v>5908</v>
      </c>
      <c r="N5585" t="str">
        <f>"248030200308"</f>
        <v>248030200308</v>
      </c>
      <c r="O5585" t="str">
        <f>"350725198912260588"</f>
        <v>350725198912260588</v>
      </c>
    </row>
    <row r="5586" customFormat="1" spans="1:15">
      <c r="A5586">
        <v>7127</v>
      </c>
      <c r="B5586" t="s">
        <v>5909</v>
      </c>
      <c r="C5586" t="str">
        <f>"420281198607160435"</f>
        <v>420281198607160435</v>
      </c>
      <c r="D5586" t="str">
        <f>"248030401307"</f>
        <v>248030401307</v>
      </c>
      <c r="L5586">
        <v>7127</v>
      </c>
      <c r="M5586" t="s">
        <v>5909</v>
      </c>
      <c r="N5586" t="str">
        <f>"248030401307"</f>
        <v>248030401307</v>
      </c>
      <c r="O5586" t="str">
        <f>"420281198607160435"</f>
        <v>420281198607160435</v>
      </c>
    </row>
    <row r="5587" customFormat="1" spans="1:15">
      <c r="A5587">
        <v>7128</v>
      </c>
      <c r="B5587" t="s">
        <v>5910</v>
      </c>
      <c r="C5587" t="str">
        <f>"460007200002287620"</f>
        <v>460007200002287620</v>
      </c>
      <c r="D5587" t="str">
        <f>"248030500709"</f>
        <v>248030500709</v>
      </c>
      <c r="L5587">
        <v>7128</v>
      </c>
      <c r="M5587" t="s">
        <v>5910</v>
      </c>
      <c r="N5587" t="str">
        <f>"248030500709"</f>
        <v>248030500709</v>
      </c>
      <c r="O5587" t="str">
        <f>"460007200002287620"</f>
        <v>460007200002287620</v>
      </c>
    </row>
    <row r="5588" customFormat="1" spans="1:15">
      <c r="A5588">
        <v>7130</v>
      </c>
      <c r="B5588" t="s">
        <v>5911</v>
      </c>
      <c r="C5588" t="str">
        <f>"412826199611021780"</f>
        <v>412826199611021780</v>
      </c>
      <c r="D5588" t="str">
        <f>"248030100319"</f>
        <v>248030100319</v>
      </c>
      <c r="L5588">
        <v>7130</v>
      </c>
      <c r="M5588" t="s">
        <v>5911</v>
      </c>
      <c r="N5588" t="str">
        <f>"248030100319"</f>
        <v>248030100319</v>
      </c>
      <c r="O5588" t="str">
        <f>"412826199611021780"</f>
        <v>412826199611021780</v>
      </c>
    </row>
    <row r="5589" customFormat="1" spans="1:15">
      <c r="A5589">
        <v>7132</v>
      </c>
      <c r="B5589" t="s">
        <v>5912</v>
      </c>
      <c r="C5589" t="str">
        <f>"460028199605260028"</f>
        <v>460028199605260028</v>
      </c>
      <c r="D5589" t="str">
        <f>"248030203119"</f>
        <v>248030203119</v>
      </c>
      <c r="L5589">
        <v>7132</v>
      </c>
      <c r="M5589" t="s">
        <v>5912</v>
      </c>
      <c r="N5589" t="str">
        <f>"248030203119"</f>
        <v>248030203119</v>
      </c>
      <c r="O5589" t="str">
        <f>"460028199605260028"</f>
        <v>460028199605260028</v>
      </c>
    </row>
    <row r="5590" customFormat="1" spans="1:15">
      <c r="A5590">
        <v>7133</v>
      </c>
      <c r="B5590" t="s">
        <v>5913</v>
      </c>
      <c r="C5590" t="str">
        <f>"469003199904145629"</f>
        <v>469003199904145629</v>
      </c>
      <c r="D5590" t="str">
        <f>"248030500428"</f>
        <v>248030500428</v>
      </c>
      <c r="L5590">
        <v>7133</v>
      </c>
      <c r="M5590" t="s">
        <v>5913</v>
      </c>
      <c r="N5590" t="str">
        <f>"248030500428"</f>
        <v>248030500428</v>
      </c>
      <c r="O5590" t="str">
        <f>"469003199904145629"</f>
        <v>469003199904145629</v>
      </c>
    </row>
    <row r="5591" customFormat="1" spans="1:15">
      <c r="A5591">
        <v>7134</v>
      </c>
      <c r="B5591" t="s">
        <v>5914</v>
      </c>
      <c r="C5591" t="str">
        <f>"460033200011083243"</f>
        <v>460033200011083243</v>
      </c>
      <c r="L5591">
        <v>7134</v>
      </c>
      <c r="M5591" t="s">
        <v>5914</v>
      </c>
      <c r="O5591" t="str">
        <f>"460033200011083243"</f>
        <v>460033200011083243</v>
      </c>
    </row>
    <row r="5592" customFormat="1" spans="1:15">
      <c r="A5592">
        <v>7135</v>
      </c>
      <c r="B5592" t="s">
        <v>5915</v>
      </c>
      <c r="C5592" t="str">
        <f>"460004199611116224"</f>
        <v>460004199611116224</v>
      </c>
      <c r="D5592" t="str">
        <f>"248030102711"</f>
        <v>248030102711</v>
      </c>
      <c r="L5592">
        <v>7135</v>
      </c>
      <c r="M5592" t="s">
        <v>5915</v>
      </c>
      <c r="N5592" t="str">
        <f>"248030102711"</f>
        <v>248030102711</v>
      </c>
      <c r="O5592" t="str">
        <f>"460004199611116224"</f>
        <v>460004199611116224</v>
      </c>
    </row>
    <row r="5593" customFormat="1" spans="1:15">
      <c r="A5593">
        <v>7136</v>
      </c>
      <c r="B5593" t="s">
        <v>5916</v>
      </c>
      <c r="C5593" t="str">
        <f>"230221199806102222"</f>
        <v>230221199806102222</v>
      </c>
      <c r="D5593" t="str">
        <f>"248030400414"</f>
        <v>248030400414</v>
      </c>
      <c r="L5593">
        <v>7136</v>
      </c>
      <c r="M5593" t="s">
        <v>5916</v>
      </c>
      <c r="N5593" t="str">
        <f>"248030400414"</f>
        <v>248030400414</v>
      </c>
      <c r="O5593" t="str">
        <f>"230221199806102222"</f>
        <v>230221199806102222</v>
      </c>
    </row>
    <row r="5594" customFormat="1" spans="1:15">
      <c r="A5594">
        <v>7137</v>
      </c>
      <c r="B5594" t="s">
        <v>5917</v>
      </c>
      <c r="C5594" t="str">
        <f>"460025199808193313"</f>
        <v>460025199808193313</v>
      </c>
      <c r="L5594">
        <v>7137</v>
      </c>
      <c r="M5594" t="s">
        <v>5917</v>
      </c>
      <c r="O5594" t="str">
        <f>"460025199808193313"</f>
        <v>460025199808193313</v>
      </c>
    </row>
    <row r="5595" customFormat="1" spans="1:15">
      <c r="A5595">
        <v>7138</v>
      </c>
      <c r="B5595" t="s">
        <v>5918</v>
      </c>
      <c r="C5595" t="str">
        <f>"469024200002250849"</f>
        <v>469024200002250849</v>
      </c>
      <c r="D5595" t="str">
        <f>"248030301012"</f>
        <v>248030301012</v>
      </c>
      <c r="L5595">
        <v>7138</v>
      </c>
      <c r="M5595" t="s">
        <v>5918</v>
      </c>
      <c r="N5595" t="str">
        <f>"248030301012"</f>
        <v>248030301012</v>
      </c>
      <c r="O5595" t="str">
        <f>"469024200002250849"</f>
        <v>469024200002250849</v>
      </c>
    </row>
    <row r="5596" customFormat="1" spans="1:15">
      <c r="A5596">
        <v>7139</v>
      </c>
      <c r="B5596" t="s">
        <v>5919</v>
      </c>
      <c r="C5596" t="str">
        <f>"460103200203191211"</f>
        <v>460103200203191211</v>
      </c>
      <c r="D5596" t="str">
        <f>"248030103106"</f>
        <v>248030103106</v>
      </c>
      <c r="L5596">
        <v>7139</v>
      </c>
      <c r="M5596" t="s">
        <v>5919</v>
      </c>
      <c r="N5596" t="str">
        <f>"248030103106"</f>
        <v>248030103106</v>
      </c>
      <c r="O5596" t="str">
        <f>"460103200203191211"</f>
        <v>460103200203191211</v>
      </c>
    </row>
    <row r="5597" customFormat="1" spans="1:15">
      <c r="A5597">
        <v>7140</v>
      </c>
      <c r="B5597" t="s">
        <v>5920</v>
      </c>
      <c r="C5597" t="str">
        <f>"460028199905015227"</f>
        <v>460028199905015227</v>
      </c>
      <c r="D5597" t="str">
        <f>"248030502120"</f>
        <v>248030502120</v>
      </c>
      <c r="L5597">
        <v>7140</v>
      </c>
      <c r="M5597" t="s">
        <v>5920</v>
      </c>
      <c r="N5597" t="str">
        <f>"248030502120"</f>
        <v>248030502120</v>
      </c>
      <c r="O5597" t="str">
        <f>"460028199905015227"</f>
        <v>460028199905015227</v>
      </c>
    </row>
    <row r="5598" customFormat="1" spans="1:15">
      <c r="A5598">
        <v>7142</v>
      </c>
      <c r="B5598" t="s">
        <v>5921</v>
      </c>
      <c r="C5598" t="str">
        <f>"230602199808132524"</f>
        <v>230602199808132524</v>
      </c>
      <c r="D5598" t="str">
        <f>"248030504121"</f>
        <v>248030504121</v>
      </c>
      <c r="L5598">
        <v>7142</v>
      </c>
      <c r="M5598" t="s">
        <v>5921</v>
      </c>
      <c r="N5598" t="str">
        <f>"248030504121"</f>
        <v>248030504121</v>
      </c>
      <c r="O5598" t="str">
        <f>"230602199808132524"</f>
        <v>230602199808132524</v>
      </c>
    </row>
    <row r="5599" customFormat="1" spans="1:15">
      <c r="A5599">
        <v>7143</v>
      </c>
      <c r="B5599" t="s">
        <v>5922</v>
      </c>
      <c r="C5599" t="str">
        <f>"460003200003024229"</f>
        <v>460003200003024229</v>
      </c>
      <c r="D5599" t="str">
        <f>"248030500613"</f>
        <v>248030500613</v>
      </c>
      <c r="L5599">
        <v>7143</v>
      </c>
      <c r="M5599" t="s">
        <v>5922</v>
      </c>
      <c r="N5599" t="str">
        <f>"248030500613"</f>
        <v>248030500613</v>
      </c>
      <c r="O5599" t="str">
        <f>"460003200003024229"</f>
        <v>460003200003024229</v>
      </c>
    </row>
    <row r="5600" customFormat="1" spans="1:15">
      <c r="A5600">
        <v>7144</v>
      </c>
      <c r="B5600" t="s">
        <v>5923</v>
      </c>
      <c r="C5600" t="str">
        <f>"460031199602295231"</f>
        <v>460031199602295231</v>
      </c>
      <c r="D5600" t="str">
        <f>"248030203908"</f>
        <v>248030203908</v>
      </c>
      <c r="L5600">
        <v>7144</v>
      </c>
      <c r="M5600" t="s">
        <v>5923</v>
      </c>
      <c r="N5600" t="str">
        <f>"248030203908"</f>
        <v>248030203908</v>
      </c>
      <c r="O5600" t="str">
        <f>"460031199602295231"</f>
        <v>460031199602295231</v>
      </c>
    </row>
    <row r="5601" customFormat="1" spans="1:15">
      <c r="A5601">
        <v>7145</v>
      </c>
      <c r="B5601" t="s">
        <v>5924</v>
      </c>
      <c r="C5601" t="str">
        <f>"460007199510213622"</f>
        <v>460007199510213622</v>
      </c>
      <c r="L5601">
        <v>7145</v>
      </c>
      <c r="M5601" t="s">
        <v>5924</v>
      </c>
      <c r="O5601" t="str">
        <f>"460007199510213622"</f>
        <v>460007199510213622</v>
      </c>
    </row>
    <row r="5602" customFormat="1" spans="1:15">
      <c r="A5602">
        <v>7147</v>
      </c>
      <c r="B5602" t="s">
        <v>5925</v>
      </c>
      <c r="C5602" t="str">
        <f>"430681199906160927"</f>
        <v>430681199906160927</v>
      </c>
      <c r="D5602" t="str">
        <f>"248030201922"</f>
        <v>248030201922</v>
      </c>
      <c r="L5602">
        <v>7147</v>
      </c>
      <c r="M5602" t="s">
        <v>5925</v>
      </c>
      <c r="N5602" t="str">
        <f>"248030201922"</f>
        <v>248030201922</v>
      </c>
      <c r="O5602" t="str">
        <f>"430681199906160927"</f>
        <v>430681199906160927</v>
      </c>
    </row>
    <row r="5603" customFormat="1" spans="1:15">
      <c r="A5603">
        <v>7148</v>
      </c>
      <c r="B5603" t="s">
        <v>5926</v>
      </c>
      <c r="C5603" t="str">
        <f>"460004199805022023"</f>
        <v>460004199805022023</v>
      </c>
      <c r="D5603" t="str">
        <f>"248030203220"</f>
        <v>248030203220</v>
      </c>
      <c r="L5603">
        <v>7148</v>
      </c>
      <c r="M5603" t="s">
        <v>5926</v>
      </c>
      <c r="N5603" t="str">
        <f>"248030203220"</f>
        <v>248030203220</v>
      </c>
      <c r="O5603" t="str">
        <f>"460004199805022023"</f>
        <v>460004199805022023</v>
      </c>
    </row>
    <row r="5604" customFormat="1" spans="1:15">
      <c r="A5604">
        <v>7149</v>
      </c>
      <c r="B5604" t="s">
        <v>5927</v>
      </c>
      <c r="C5604" t="str">
        <f>"460103199401170926"</f>
        <v>460103199401170926</v>
      </c>
      <c r="L5604">
        <v>7149</v>
      </c>
      <c r="M5604" t="s">
        <v>5927</v>
      </c>
      <c r="O5604" t="str">
        <f>"460103199401170926"</f>
        <v>460103199401170926</v>
      </c>
    </row>
    <row r="5605" customFormat="1" spans="1:15">
      <c r="A5605">
        <v>7150</v>
      </c>
      <c r="B5605" t="s">
        <v>5928</v>
      </c>
      <c r="C5605" t="str">
        <f>"460003200011104827"</f>
        <v>460003200011104827</v>
      </c>
      <c r="D5605" t="str">
        <f>"248030103809"</f>
        <v>248030103809</v>
      </c>
      <c r="L5605">
        <v>7150</v>
      </c>
      <c r="M5605" t="s">
        <v>5928</v>
      </c>
      <c r="N5605" t="str">
        <f>"248030103809"</f>
        <v>248030103809</v>
      </c>
      <c r="O5605" t="str">
        <f>"460003200011104827"</f>
        <v>460003200011104827</v>
      </c>
    </row>
    <row r="5606" customFormat="1" spans="1:15">
      <c r="A5606">
        <v>7151</v>
      </c>
      <c r="B5606" t="s">
        <v>5929</v>
      </c>
      <c r="C5606" t="str">
        <f>"460030199605290317"</f>
        <v>460030199605290317</v>
      </c>
      <c r="D5606" t="str">
        <f>"248030201416"</f>
        <v>248030201416</v>
      </c>
      <c r="L5606">
        <v>7151</v>
      </c>
      <c r="M5606" t="s">
        <v>5929</v>
      </c>
      <c r="N5606" t="str">
        <f>"248030201416"</f>
        <v>248030201416</v>
      </c>
      <c r="O5606" t="str">
        <f>"460030199605290317"</f>
        <v>460030199605290317</v>
      </c>
    </row>
    <row r="5607" customFormat="1" spans="1:15">
      <c r="A5607">
        <v>7154</v>
      </c>
      <c r="B5607" t="s">
        <v>5930</v>
      </c>
      <c r="C5607" t="str">
        <f>"460027199507157928"</f>
        <v>460027199507157928</v>
      </c>
      <c r="D5607" t="str">
        <f>"248030500807"</f>
        <v>248030500807</v>
      </c>
      <c r="L5607">
        <v>7154</v>
      </c>
      <c r="M5607" t="s">
        <v>5930</v>
      </c>
      <c r="N5607" t="str">
        <f>"248030500807"</f>
        <v>248030500807</v>
      </c>
      <c r="O5607" t="str">
        <f>"460027199507157928"</f>
        <v>460027199507157928</v>
      </c>
    </row>
    <row r="5608" customFormat="1" spans="1:15">
      <c r="A5608">
        <v>7155</v>
      </c>
      <c r="B5608" t="s">
        <v>5931</v>
      </c>
      <c r="C5608" t="str">
        <f>"469003200009051912"</f>
        <v>469003200009051912</v>
      </c>
      <c r="L5608">
        <v>7155</v>
      </c>
      <c r="M5608" t="s">
        <v>5931</v>
      </c>
      <c r="O5608" t="str">
        <f>"469003200009051912"</f>
        <v>469003200009051912</v>
      </c>
    </row>
    <row r="5609" customFormat="1" spans="1:15">
      <c r="A5609">
        <v>7156</v>
      </c>
      <c r="B5609" t="s">
        <v>5932</v>
      </c>
      <c r="C5609" t="str">
        <f>"460022199611222118"</f>
        <v>460022199611222118</v>
      </c>
      <c r="L5609">
        <v>7156</v>
      </c>
      <c r="M5609" t="s">
        <v>5932</v>
      </c>
      <c r="O5609" t="str">
        <f>"460022199611222118"</f>
        <v>460022199611222118</v>
      </c>
    </row>
    <row r="5610" customFormat="1" spans="1:15">
      <c r="A5610">
        <v>7157</v>
      </c>
      <c r="B5610" t="s">
        <v>5933</v>
      </c>
      <c r="C5610" t="str">
        <f>"469003199509247326"</f>
        <v>469003199509247326</v>
      </c>
      <c r="D5610" t="str">
        <f>"248030403514"</f>
        <v>248030403514</v>
      </c>
      <c r="L5610">
        <v>7157</v>
      </c>
      <c r="M5610" t="s">
        <v>5933</v>
      </c>
      <c r="N5610" t="str">
        <f>"248030403514"</f>
        <v>248030403514</v>
      </c>
      <c r="O5610" t="str">
        <f>"469003199509247326"</f>
        <v>469003199509247326</v>
      </c>
    </row>
    <row r="5611" customFormat="1" spans="1:15">
      <c r="A5611">
        <v>7158</v>
      </c>
      <c r="B5611" t="s">
        <v>615</v>
      </c>
      <c r="C5611" t="str">
        <f>"460025199706071243"</f>
        <v>460025199706071243</v>
      </c>
      <c r="D5611" t="str">
        <f>"248030104028"</f>
        <v>248030104028</v>
      </c>
      <c r="L5611">
        <v>7158</v>
      </c>
      <c r="M5611" t="s">
        <v>615</v>
      </c>
      <c r="N5611" t="str">
        <f>"248030104028"</f>
        <v>248030104028</v>
      </c>
      <c r="O5611" t="str">
        <f>"460025199706071243"</f>
        <v>460025199706071243</v>
      </c>
    </row>
    <row r="5612" customFormat="1" spans="1:15">
      <c r="A5612">
        <v>7160</v>
      </c>
      <c r="B5612" t="s">
        <v>5934</v>
      </c>
      <c r="C5612" t="str">
        <f>"44088219990718724X"</f>
        <v>44088219990718724X</v>
      </c>
      <c r="D5612" t="str">
        <f>"248030503008"</f>
        <v>248030503008</v>
      </c>
      <c r="L5612">
        <v>7160</v>
      </c>
      <c r="M5612" t="s">
        <v>5934</v>
      </c>
      <c r="N5612" t="str">
        <f>"248030503008"</f>
        <v>248030503008</v>
      </c>
      <c r="O5612" t="str">
        <f>"44088219990718724X"</f>
        <v>44088219990718724X</v>
      </c>
    </row>
    <row r="5613" customFormat="1" spans="1:15">
      <c r="A5613">
        <v>7161</v>
      </c>
      <c r="B5613" t="s">
        <v>5935</v>
      </c>
      <c r="C5613" t="str">
        <f>"460003200104137425"</f>
        <v>460003200104137425</v>
      </c>
      <c r="D5613" t="str">
        <f>"248030400730"</f>
        <v>248030400730</v>
      </c>
      <c r="L5613">
        <v>7161</v>
      </c>
      <c r="M5613" t="s">
        <v>5935</v>
      </c>
      <c r="N5613" t="str">
        <f>"248030400730"</f>
        <v>248030400730</v>
      </c>
      <c r="O5613" t="str">
        <f>"460003200104137425"</f>
        <v>460003200104137425</v>
      </c>
    </row>
    <row r="5614" customFormat="1" spans="1:15">
      <c r="A5614">
        <v>7162</v>
      </c>
      <c r="B5614" t="s">
        <v>5191</v>
      </c>
      <c r="C5614" t="str">
        <f>"460007200105185803"</f>
        <v>460007200105185803</v>
      </c>
      <c r="D5614" t="str">
        <f>"248030301111"</f>
        <v>248030301111</v>
      </c>
      <c r="L5614">
        <v>7162</v>
      </c>
      <c r="M5614" t="s">
        <v>5191</v>
      </c>
      <c r="N5614" t="str">
        <f>"248030301111"</f>
        <v>248030301111</v>
      </c>
      <c r="O5614" t="str">
        <f>"460007200105185803"</f>
        <v>460007200105185803</v>
      </c>
    </row>
    <row r="5615" customFormat="1" spans="1:15">
      <c r="A5615">
        <v>7163</v>
      </c>
      <c r="B5615" t="s">
        <v>5936</v>
      </c>
      <c r="C5615" t="str">
        <f>"152525200208280028"</f>
        <v>152525200208280028</v>
      </c>
      <c r="D5615" t="str">
        <f>"248030301312"</f>
        <v>248030301312</v>
      </c>
      <c r="L5615">
        <v>7163</v>
      </c>
      <c r="M5615" t="s">
        <v>5936</v>
      </c>
      <c r="N5615" t="str">
        <f>"248030301312"</f>
        <v>248030301312</v>
      </c>
      <c r="O5615" t="str">
        <f>"152525200208280028"</f>
        <v>152525200208280028</v>
      </c>
    </row>
    <row r="5616" customFormat="1" spans="1:15">
      <c r="A5616">
        <v>7168</v>
      </c>
      <c r="B5616" t="s">
        <v>5937</v>
      </c>
      <c r="C5616" t="str">
        <f>"331003200207123124"</f>
        <v>331003200207123124</v>
      </c>
      <c r="D5616" t="str">
        <f>"248030102207"</f>
        <v>248030102207</v>
      </c>
      <c r="L5616">
        <v>7168</v>
      </c>
      <c r="M5616" t="s">
        <v>5937</v>
      </c>
      <c r="N5616" t="str">
        <f>"248030102207"</f>
        <v>248030102207</v>
      </c>
      <c r="O5616" t="str">
        <f>"331003200207123124"</f>
        <v>331003200207123124</v>
      </c>
    </row>
    <row r="5617" customFormat="1" spans="1:15">
      <c r="A5617">
        <v>7169</v>
      </c>
      <c r="B5617" t="s">
        <v>5938</v>
      </c>
      <c r="C5617" t="str">
        <f>"469027200204274485"</f>
        <v>469027200204274485</v>
      </c>
      <c r="D5617" t="str">
        <f>"248030400811"</f>
        <v>248030400811</v>
      </c>
      <c r="L5617">
        <v>7169</v>
      </c>
      <c r="M5617" t="s">
        <v>5938</v>
      </c>
      <c r="N5617" t="str">
        <f>"248030400811"</f>
        <v>248030400811</v>
      </c>
      <c r="O5617" t="str">
        <f>"469027200204274485"</f>
        <v>469027200204274485</v>
      </c>
    </row>
    <row r="5618" customFormat="1" spans="1:15">
      <c r="A5618">
        <v>7170</v>
      </c>
      <c r="B5618" t="s">
        <v>5939</v>
      </c>
      <c r="C5618" t="str">
        <f>"440921199203240033"</f>
        <v>440921199203240033</v>
      </c>
      <c r="L5618">
        <v>7170</v>
      </c>
      <c r="M5618" t="s">
        <v>5939</v>
      </c>
      <c r="O5618" t="str">
        <f>"440921199203240033"</f>
        <v>440921199203240033</v>
      </c>
    </row>
    <row r="5619" customFormat="1" spans="1:15">
      <c r="A5619">
        <v>7171</v>
      </c>
      <c r="B5619" t="s">
        <v>5940</v>
      </c>
      <c r="C5619" t="str">
        <f>"330324200107070827"</f>
        <v>330324200107070827</v>
      </c>
      <c r="D5619" t="str">
        <f>"248030103929"</f>
        <v>248030103929</v>
      </c>
      <c r="L5619">
        <v>7171</v>
      </c>
      <c r="M5619" t="s">
        <v>5940</v>
      </c>
      <c r="N5619" t="str">
        <f>"248030103929"</f>
        <v>248030103929</v>
      </c>
      <c r="O5619" t="str">
        <f>"330324200107070827"</f>
        <v>330324200107070827</v>
      </c>
    </row>
    <row r="5620" customFormat="1" spans="1:15">
      <c r="A5620">
        <v>7172</v>
      </c>
      <c r="B5620" t="s">
        <v>5941</v>
      </c>
      <c r="C5620" t="str">
        <f>"460102200110082722"</f>
        <v>460102200110082722</v>
      </c>
      <c r="D5620" t="str">
        <f>"248030200101"</f>
        <v>248030200101</v>
      </c>
      <c r="L5620">
        <v>7172</v>
      </c>
      <c r="M5620" t="s">
        <v>5941</v>
      </c>
      <c r="N5620" t="str">
        <f>"248030200101"</f>
        <v>248030200101</v>
      </c>
      <c r="O5620" t="str">
        <f>"460102200110082722"</f>
        <v>460102200110082722</v>
      </c>
    </row>
    <row r="5621" customFormat="1" spans="1:15">
      <c r="A5621">
        <v>7174</v>
      </c>
      <c r="B5621" t="s">
        <v>5942</v>
      </c>
      <c r="C5621" t="str">
        <f>"460006199804175928"</f>
        <v>460006199804175928</v>
      </c>
      <c r="D5621" t="str">
        <f>"248030102001"</f>
        <v>248030102001</v>
      </c>
      <c r="L5621">
        <v>7174</v>
      </c>
      <c r="M5621" t="s">
        <v>5942</v>
      </c>
      <c r="N5621" t="str">
        <f>"248030102001"</f>
        <v>248030102001</v>
      </c>
      <c r="O5621" t="str">
        <f>"460006199804175928"</f>
        <v>460006199804175928</v>
      </c>
    </row>
    <row r="5622" customFormat="1" spans="1:15">
      <c r="A5622">
        <v>7175</v>
      </c>
      <c r="B5622" t="s">
        <v>5943</v>
      </c>
      <c r="C5622" t="str">
        <f>"460006200108120224"</f>
        <v>460006200108120224</v>
      </c>
      <c r="D5622" t="str">
        <f>"248030502519"</f>
        <v>248030502519</v>
      </c>
      <c r="L5622">
        <v>7175</v>
      </c>
      <c r="M5622" t="s">
        <v>5943</v>
      </c>
      <c r="N5622" t="str">
        <f>"248030502519"</f>
        <v>248030502519</v>
      </c>
      <c r="O5622" t="str">
        <f>"460006200108120224"</f>
        <v>460006200108120224</v>
      </c>
    </row>
    <row r="5623" customFormat="1" spans="1:15">
      <c r="A5623">
        <v>7176</v>
      </c>
      <c r="B5623" t="s">
        <v>5944</v>
      </c>
      <c r="C5623" t="str">
        <f>"46900720020626412X"</f>
        <v>46900720020626412X</v>
      </c>
      <c r="D5623" t="str">
        <f>"248030501802"</f>
        <v>248030501802</v>
      </c>
      <c r="L5623">
        <v>7176</v>
      </c>
      <c r="M5623" t="s">
        <v>5944</v>
      </c>
      <c r="N5623" t="str">
        <f>"248030501802"</f>
        <v>248030501802</v>
      </c>
      <c r="O5623" t="str">
        <f>"46900720020626412X"</f>
        <v>46900720020626412X</v>
      </c>
    </row>
    <row r="5624" customFormat="1" spans="1:15">
      <c r="A5624">
        <v>7177</v>
      </c>
      <c r="B5624" t="s">
        <v>5945</v>
      </c>
      <c r="C5624" t="str">
        <f>"460033199501273570"</f>
        <v>460033199501273570</v>
      </c>
      <c r="L5624">
        <v>7177</v>
      </c>
      <c r="M5624" t="s">
        <v>5945</v>
      </c>
      <c r="O5624" t="str">
        <f>"460033199501273570"</f>
        <v>460033199501273570</v>
      </c>
    </row>
    <row r="5625" customFormat="1" spans="1:15">
      <c r="A5625">
        <v>7178</v>
      </c>
      <c r="B5625" t="s">
        <v>5946</v>
      </c>
      <c r="C5625" t="str">
        <f>"460004199701152026"</f>
        <v>460004199701152026</v>
      </c>
      <c r="L5625">
        <v>7178</v>
      </c>
      <c r="M5625" t="s">
        <v>5946</v>
      </c>
      <c r="O5625" t="str">
        <f>"460004199701152026"</f>
        <v>460004199701152026</v>
      </c>
    </row>
    <row r="5626" customFormat="1" spans="1:15">
      <c r="A5626">
        <v>7180</v>
      </c>
      <c r="B5626" t="s">
        <v>5947</v>
      </c>
      <c r="C5626" t="str">
        <f>"460027199407168224"</f>
        <v>460027199407168224</v>
      </c>
      <c r="D5626" t="str">
        <f>"248030502929"</f>
        <v>248030502929</v>
      </c>
      <c r="L5626">
        <v>7180</v>
      </c>
      <c r="M5626" t="s">
        <v>5947</v>
      </c>
      <c r="N5626" t="str">
        <f>"248030502929"</f>
        <v>248030502929</v>
      </c>
      <c r="O5626" t="str">
        <f>"460027199407168224"</f>
        <v>460027199407168224</v>
      </c>
    </row>
    <row r="5627" customFormat="1" spans="1:15">
      <c r="A5627">
        <v>7181</v>
      </c>
      <c r="B5627" t="s">
        <v>5948</v>
      </c>
      <c r="C5627" t="str">
        <f>"460007200008197220"</f>
        <v>460007200008197220</v>
      </c>
      <c r="D5627" t="str">
        <f>"248030500706"</f>
        <v>248030500706</v>
      </c>
      <c r="L5627">
        <v>7181</v>
      </c>
      <c r="M5627" t="s">
        <v>5948</v>
      </c>
      <c r="N5627" t="str">
        <f>"248030500706"</f>
        <v>248030500706</v>
      </c>
      <c r="O5627" t="str">
        <f>"460007200008197220"</f>
        <v>460007200008197220</v>
      </c>
    </row>
    <row r="5628" customFormat="1" spans="1:15">
      <c r="A5628">
        <v>7182</v>
      </c>
      <c r="B5628" t="s">
        <v>5949</v>
      </c>
      <c r="C5628" t="str">
        <f>"460005199903170720"</f>
        <v>460005199903170720</v>
      </c>
      <c r="D5628" t="str">
        <f>"248030500603"</f>
        <v>248030500603</v>
      </c>
      <c r="L5628">
        <v>7182</v>
      </c>
      <c r="M5628" t="s">
        <v>5949</v>
      </c>
      <c r="N5628" t="str">
        <f>"248030500603"</f>
        <v>248030500603</v>
      </c>
      <c r="O5628" t="str">
        <f>"460005199903170720"</f>
        <v>460005199903170720</v>
      </c>
    </row>
    <row r="5629" customFormat="1" spans="1:15">
      <c r="A5629">
        <v>7183</v>
      </c>
      <c r="B5629" t="s">
        <v>5950</v>
      </c>
      <c r="C5629" t="str">
        <f>"142233199303026315"</f>
        <v>142233199303026315</v>
      </c>
      <c r="L5629">
        <v>7183</v>
      </c>
      <c r="M5629" t="s">
        <v>5950</v>
      </c>
      <c r="O5629" t="str">
        <f>"142233199303026315"</f>
        <v>142233199303026315</v>
      </c>
    </row>
    <row r="5630" customFormat="1" spans="1:15">
      <c r="A5630">
        <v>7184</v>
      </c>
      <c r="B5630" t="s">
        <v>462</v>
      </c>
      <c r="C5630" t="str">
        <f>"460003199508042021"</f>
        <v>460003199508042021</v>
      </c>
      <c r="D5630" t="str">
        <f>"248030300807"</f>
        <v>248030300807</v>
      </c>
      <c r="L5630">
        <v>7184</v>
      </c>
      <c r="M5630" t="s">
        <v>462</v>
      </c>
      <c r="N5630" t="str">
        <f>"248030300807"</f>
        <v>248030300807</v>
      </c>
      <c r="O5630" t="str">
        <f>"460003199508042021"</f>
        <v>460003199508042021</v>
      </c>
    </row>
    <row r="5631" customFormat="1" spans="1:15">
      <c r="A5631">
        <v>7186</v>
      </c>
      <c r="B5631" t="s">
        <v>5951</v>
      </c>
      <c r="C5631" t="str">
        <f>"469005199902243519"</f>
        <v>469005199902243519</v>
      </c>
      <c r="L5631">
        <v>7186</v>
      </c>
      <c r="M5631" t="s">
        <v>5951</v>
      </c>
      <c r="O5631" t="str">
        <f>"469005199902243519"</f>
        <v>469005199902243519</v>
      </c>
    </row>
    <row r="5632" customFormat="1" spans="1:15">
      <c r="A5632">
        <v>7188</v>
      </c>
      <c r="B5632" t="s">
        <v>5952</v>
      </c>
      <c r="C5632" t="str">
        <f>"42022219930503004X"</f>
        <v>42022219930503004X</v>
      </c>
      <c r="D5632" t="str">
        <f>"248030203505"</f>
        <v>248030203505</v>
      </c>
      <c r="L5632">
        <v>7188</v>
      </c>
      <c r="M5632" t="s">
        <v>5952</v>
      </c>
      <c r="N5632" t="str">
        <f>"248030203505"</f>
        <v>248030203505</v>
      </c>
      <c r="O5632" t="str">
        <f>"42022219930503004X"</f>
        <v>42022219930503004X</v>
      </c>
    </row>
    <row r="5633" customFormat="1" spans="1:15">
      <c r="A5633">
        <v>7189</v>
      </c>
      <c r="B5633" t="s">
        <v>5953</v>
      </c>
      <c r="C5633" t="str">
        <f>"460004199602210825"</f>
        <v>460004199602210825</v>
      </c>
      <c r="D5633" t="str">
        <f>"248030302717"</f>
        <v>248030302717</v>
      </c>
      <c r="L5633">
        <v>7189</v>
      </c>
      <c r="M5633" t="s">
        <v>5953</v>
      </c>
      <c r="N5633" t="str">
        <f>"248030302717"</f>
        <v>248030302717</v>
      </c>
      <c r="O5633" t="str">
        <f>"460004199602210825"</f>
        <v>460004199602210825</v>
      </c>
    </row>
    <row r="5634" customFormat="1" spans="1:15">
      <c r="A5634">
        <v>7190</v>
      </c>
      <c r="B5634" t="s">
        <v>5954</v>
      </c>
      <c r="C5634" t="str">
        <f>"460102199603250629"</f>
        <v>460102199603250629</v>
      </c>
      <c r="D5634" t="str">
        <f>"248030102218"</f>
        <v>248030102218</v>
      </c>
      <c r="L5634">
        <v>7190</v>
      </c>
      <c r="M5634" t="s">
        <v>5954</v>
      </c>
      <c r="N5634" t="str">
        <f>"248030102218"</f>
        <v>248030102218</v>
      </c>
      <c r="O5634" t="str">
        <f>"460102199603250629"</f>
        <v>460102199603250629</v>
      </c>
    </row>
    <row r="5635" customFormat="1" spans="1:15">
      <c r="A5635">
        <v>7191</v>
      </c>
      <c r="B5635" t="s">
        <v>5955</v>
      </c>
      <c r="C5635" t="str">
        <f>"460005200101223240"</f>
        <v>460005200101223240</v>
      </c>
      <c r="D5635" t="str">
        <f>"248030202729"</f>
        <v>248030202729</v>
      </c>
      <c r="L5635">
        <v>7191</v>
      </c>
      <c r="M5635" t="s">
        <v>5955</v>
      </c>
      <c r="N5635" t="str">
        <f>"248030202729"</f>
        <v>248030202729</v>
      </c>
      <c r="O5635" t="str">
        <f>"460005200101223240"</f>
        <v>460005200101223240</v>
      </c>
    </row>
    <row r="5636" customFormat="1" spans="1:15">
      <c r="A5636">
        <v>7192</v>
      </c>
      <c r="B5636" t="s">
        <v>5956</v>
      </c>
      <c r="C5636" t="str">
        <f>"460200199910143340"</f>
        <v>460200199910143340</v>
      </c>
      <c r="D5636" t="str">
        <f>"248030403409"</f>
        <v>248030403409</v>
      </c>
      <c r="L5636">
        <v>7192</v>
      </c>
      <c r="M5636" t="s">
        <v>5956</v>
      </c>
      <c r="N5636" t="str">
        <f>"248030403409"</f>
        <v>248030403409</v>
      </c>
      <c r="O5636" t="str">
        <f>"460200199910143340"</f>
        <v>460200199910143340</v>
      </c>
    </row>
    <row r="5637" customFormat="1" spans="1:15">
      <c r="A5637">
        <v>7193</v>
      </c>
      <c r="B5637" t="s">
        <v>5957</v>
      </c>
      <c r="C5637" t="str">
        <f>"460006200209247814"</f>
        <v>460006200209247814</v>
      </c>
      <c r="D5637" t="str">
        <f>"248030103110"</f>
        <v>248030103110</v>
      </c>
      <c r="L5637">
        <v>7193</v>
      </c>
      <c r="M5637" t="s">
        <v>5957</v>
      </c>
      <c r="N5637" t="str">
        <f>"248030103110"</f>
        <v>248030103110</v>
      </c>
      <c r="O5637" t="str">
        <f>"460006200209247814"</f>
        <v>460006200209247814</v>
      </c>
    </row>
    <row r="5638" customFormat="1" spans="1:15">
      <c r="A5638">
        <v>7194</v>
      </c>
      <c r="B5638" t="s">
        <v>5958</v>
      </c>
      <c r="C5638" t="str">
        <f>"460002199709290041"</f>
        <v>460002199709290041</v>
      </c>
      <c r="L5638">
        <v>7194</v>
      </c>
      <c r="M5638" t="s">
        <v>5958</v>
      </c>
      <c r="O5638" t="str">
        <f>"460002199709290041"</f>
        <v>460002199709290041</v>
      </c>
    </row>
    <row r="5639" customFormat="1" spans="1:15">
      <c r="A5639">
        <v>7195</v>
      </c>
      <c r="B5639" t="s">
        <v>5959</v>
      </c>
      <c r="C5639" t="str">
        <f>"460003199311010034"</f>
        <v>460003199311010034</v>
      </c>
      <c r="D5639" t="str">
        <f>"248030101312"</f>
        <v>248030101312</v>
      </c>
      <c r="L5639">
        <v>7195</v>
      </c>
      <c r="M5639" t="s">
        <v>5959</v>
      </c>
      <c r="N5639" t="str">
        <f>"248030101312"</f>
        <v>248030101312</v>
      </c>
      <c r="O5639" t="str">
        <f>"460003199311010034"</f>
        <v>460003199311010034</v>
      </c>
    </row>
    <row r="5640" customFormat="1" spans="1:15">
      <c r="A5640">
        <v>7196</v>
      </c>
      <c r="B5640" t="s">
        <v>5960</v>
      </c>
      <c r="C5640" t="str">
        <f>"469021199909261525"</f>
        <v>469021199909261525</v>
      </c>
      <c r="D5640" t="str">
        <f>"248030500714"</f>
        <v>248030500714</v>
      </c>
      <c r="L5640">
        <v>7196</v>
      </c>
      <c r="M5640" t="s">
        <v>5960</v>
      </c>
      <c r="N5640" t="str">
        <f>"248030500714"</f>
        <v>248030500714</v>
      </c>
      <c r="O5640" t="str">
        <f>"469021199909261525"</f>
        <v>469021199909261525</v>
      </c>
    </row>
    <row r="5641" customFormat="1" spans="1:15">
      <c r="A5641">
        <v>7198</v>
      </c>
      <c r="B5641" t="s">
        <v>5961</v>
      </c>
      <c r="C5641" t="str">
        <f>"46000320020813662X"</f>
        <v>46000320020813662X</v>
      </c>
      <c r="D5641" t="str">
        <f>"248030302512"</f>
        <v>248030302512</v>
      </c>
      <c r="L5641">
        <v>7198</v>
      </c>
      <c r="M5641" t="s">
        <v>5961</v>
      </c>
      <c r="N5641" t="str">
        <f>"248030302512"</f>
        <v>248030302512</v>
      </c>
      <c r="O5641" t="str">
        <f>"46000320020813662X"</f>
        <v>46000320020813662X</v>
      </c>
    </row>
    <row r="5642" customFormat="1" spans="1:15">
      <c r="A5642">
        <v>7199</v>
      </c>
      <c r="B5642" t="s">
        <v>91</v>
      </c>
      <c r="C5642" t="str">
        <f>"460003199406022847"</f>
        <v>460003199406022847</v>
      </c>
      <c r="D5642" t="str">
        <f>"248030502010"</f>
        <v>248030502010</v>
      </c>
      <c r="L5642">
        <v>7199</v>
      </c>
      <c r="M5642" t="s">
        <v>91</v>
      </c>
      <c r="N5642" t="str">
        <f>"248030502010"</f>
        <v>248030502010</v>
      </c>
      <c r="O5642" t="str">
        <f>"460003199406022847"</f>
        <v>460003199406022847</v>
      </c>
    </row>
    <row r="5643" customFormat="1" spans="1:15">
      <c r="A5643">
        <v>7200</v>
      </c>
      <c r="B5643" t="s">
        <v>5962</v>
      </c>
      <c r="C5643" t="str">
        <f>"460200200211153828"</f>
        <v>460200200211153828</v>
      </c>
      <c r="D5643" t="str">
        <f>"248030402905"</f>
        <v>248030402905</v>
      </c>
      <c r="L5643">
        <v>7200</v>
      </c>
      <c r="M5643" t="s">
        <v>5962</v>
      </c>
      <c r="N5643" t="str">
        <f>"248030402905"</f>
        <v>248030402905</v>
      </c>
      <c r="O5643" t="str">
        <f>"460200200211153828"</f>
        <v>460200200211153828</v>
      </c>
    </row>
    <row r="5644" customFormat="1" spans="1:15">
      <c r="A5644">
        <v>7201</v>
      </c>
      <c r="B5644" t="s">
        <v>5963</v>
      </c>
      <c r="C5644" t="str">
        <f>"460003199512197421"</f>
        <v>460003199512197421</v>
      </c>
      <c r="L5644">
        <v>7201</v>
      </c>
      <c r="M5644" t="s">
        <v>5963</v>
      </c>
      <c r="O5644" t="str">
        <f>"460003199512197421"</f>
        <v>460003199512197421</v>
      </c>
    </row>
    <row r="5645" customFormat="1" spans="1:15">
      <c r="A5645">
        <v>7202</v>
      </c>
      <c r="B5645" t="s">
        <v>5964</v>
      </c>
      <c r="C5645" t="str">
        <f>"36220220030129764X"</f>
        <v>36220220030129764X</v>
      </c>
      <c r="D5645" t="str">
        <f>"248030501012"</f>
        <v>248030501012</v>
      </c>
      <c r="L5645">
        <v>7202</v>
      </c>
      <c r="M5645" t="s">
        <v>5964</v>
      </c>
      <c r="N5645" t="str">
        <f>"248030501012"</f>
        <v>248030501012</v>
      </c>
      <c r="O5645" t="str">
        <f>"36220220030129764X"</f>
        <v>36220220030129764X</v>
      </c>
    </row>
    <row r="5646" customFormat="1" spans="1:15">
      <c r="A5646">
        <v>7203</v>
      </c>
      <c r="B5646" t="s">
        <v>5965</v>
      </c>
      <c r="C5646" t="str">
        <f>"460003199705022628"</f>
        <v>460003199705022628</v>
      </c>
      <c r="L5646">
        <v>7203</v>
      </c>
      <c r="M5646" t="s">
        <v>5965</v>
      </c>
      <c r="O5646" t="str">
        <f>"460003199705022628"</f>
        <v>460003199705022628</v>
      </c>
    </row>
    <row r="5647" customFormat="1" spans="1:15">
      <c r="A5647">
        <v>7204</v>
      </c>
      <c r="B5647" t="s">
        <v>5966</v>
      </c>
      <c r="C5647" t="str">
        <f>"460003199812060224"</f>
        <v>460003199812060224</v>
      </c>
      <c r="D5647" t="str">
        <f>"248030400201"</f>
        <v>248030400201</v>
      </c>
      <c r="L5647">
        <v>7204</v>
      </c>
      <c r="M5647" t="s">
        <v>5966</v>
      </c>
      <c r="N5647" t="str">
        <f>"248030400201"</f>
        <v>248030400201</v>
      </c>
      <c r="O5647" t="str">
        <f>"460003199812060224"</f>
        <v>460003199812060224</v>
      </c>
    </row>
    <row r="5648" customFormat="1" spans="1:15">
      <c r="A5648">
        <v>7205</v>
      </c>
      <c r="B5648" t="s">
        <v>5967</v>
      </c>
      <c r="C5648" t="str">
        <f>"460003200003117687"</f>
        <v>460003200003117687</v>
      </c>
      <c r="D5648" t="str">
        <f>"248030504201"</f>
        <v>248030504201</v>
      </c>
      <c r="L5648">
        <v>7205</v>
      </c>
      <c r="M5648" t="s">
        <v>5967</v>
      </c>
      <c r="N5648" t="str">
        <f>"248030504201"</f>
        <v>248030504201</v>
      </c>
      <c r="O5648" t="str">
        <f>"460003200003117687"</f>
        <v>460003200003117687</v>
      </c>
    </row>
    <row r="5649" customFormat="1" spans="1:15">
      <c r="A5649">
        <v>7206</v>
      </c>
      <c r="B5649" t="s">
        <v>5968</v>
      </c>
      <c r="C5649" t="str">
        <f>"460033199302231183"</f>
        <v>460033199302231183</v>
      </c>
      <c r="D5649" t="str">
        <f>"248030103322"</f>
        <v>248030103322</v>
      </c>
      <c r="L5649">
        <v>7206</v>
      </c>
      <c r="M5649" t="s">
        <v>5968</v>
      </c>
      <c r="N5649" t="str">
        <f>"248030103322"</f>
        <v>248030103322</v>
      </c>
      <c r="O5649" t="str">
        <f>"460033199302231183"</f>
        <v>460033199302231183</v>
      </c>
    </row>
    <row r="5650" customFormat="1" spans="1:15">
      <c r="A5650">
        <v>7207</v>
      </c>
      <c r="B5650" t="s">
        <v>5969</v>
      </c>
      <c r="C5650" t="str">
        <f>"210702199703280610"</f>
        <v>210702199703280610</v>
      </c>
      <c r="L5650">
        <v>7207</v>
      </c>
      <c r="M5650" t="s">
        <v>5969</v>
      </c>
      <c r="O5650" t="str">
        <f>"210702199703280610"</f>
        <v>210702199703280610</v>
      </c>
    </row>
    <row r="5651" customFormat="1" spans="1:15">
      <c r="A5651">
        <v>7208</v>
      </c>
      <c r="B5651" t="s">
        <v>5970</v>
      </c>
      <c r="C5651" t="str">
        <f>"460033199509173283"</f>
        <v>460033199509173283</v>
      </c>
      <c r="D5651" t="str">
        <f>"248030200507"</f>
        <v>248030200507</v>
      </c>
      <c r="L5651">
        <v>7208</v>
      </c>
      <c r="M5651" t="s">
        <v>5970</v>
      </c>
      <c r="N5651" t="str">
        <f>"248030200507"</f>
        <v>248030200507</v>
      </c>
      <c r="O5651" t="str">
        <f>"460033199509173283"</f>
        <v>460033199509173283</v>
      </c>
    </row>
    <row r="5652" customFormat="1" spans="1:15">
      <c r="A5652">
        <v>7209</v>
      </c>
      <c r="B5652" t="s">
        <v>5971</v>
      </c>
      <c r="C5652" t="str">
        <f>"430181200211047360"</f>
        <v>430181200211047360</v>
      </c>
      <c r="D5652" t="str">
        <f>"248030501116"</f>
        <v>248030501116</v>
      </c>
      <c r="L5652">
        <v>7209</v>
      </c>
      <c r="M5652" t="s">
        <v>5971</v>
      </c>
      <c r="N5652" t="str">
        <f>"248030501116"</f>
        <v>248030501116</v>
      </c>
      <c r="O5652" t="str">
        <f>"430181200211047360"</f>
        <v>430181200211047360</v>
      </c>
    </row>
    <row r="5653" customFormat="1" spans="1:15">
      <c r="A5653">
        <v>7212</v>
      </c>
      <c r="B5653" t="s">
        <v>2817</v>
      </c>
      <c r="C5653" t="str">
        <f>"460005200104303529"</f>
        <v>460005200104303529</v>
      </c>
      <c r="D5653" t="str">
        <f>"248030500702"</f>
        <v>248030500702</v>
      </c>
      <c r="L5653">
        <v>7212</v>
      </c>
      <c r="M5653" t="s">
        <v>2817</v>
      </c>
      <c r="N5653" t="str">
        <f>"248030500702"</f>
        <v>248030500702</v>
      </c>
      <c r="O5653" t="str">
        <f>"460005200104303529"</f>
        <v>460005200104303529</v>
      </c>
    </row>
    <row r="5654" customFormat="1" spans="1:15">
      <c r="A5654">
        <v>7213</v>
      </c>
      <c r="B5654" t="s">
        <v>5972</v>
      </c>
      <c r="C5654" t="str">
        <f>"46010319941102122X"</f>
        <v>46010319941102122X</v>
      </c>
      <c r="D5654" t="str">
        <f>"248030403522"</f>
        <v>248030403522</v>
      </c>
      <c r="L5654">
        <v>7213</v>
      </c>
      <c r="M5654" t="s">
        <v>5972</v>
      </c>
      <c r="N5654" t="str">
        <f>"248030403522"</f>
        <v>248030403522</v>
      </c>
      <c r="O5654" t="str">
        <f>"46010319941102122X"</f>
        <v>46010319941102122X</v>
      </c>
    </row>
    <row r="5655" customFormat="1" spans="1:15">
      <c r="A5655">
        <v>7215</v>
      </c>
      <c r="B5655" t="s">
        <v>5973</v>
      </c>
      <c r="C5655" t="str">
        <f>"360902199611023821"</f>
        <v>360902199611023821</v>
      </c>
      <c r="D5655" t="str">
        <f>"248030403829"</f>
        <v>248030403829</v>
      </c>
      <c r="L5655">
        <v>7215</v>
      </c>
      <c r="M5655" t="s">
        <v>5973</v>
      </c>
      <c r="N5655" t="str">
        <f>"248030403829"</f>
        <v>248030403829</v>
      </c>
      <c r="O5655" t="str">
        <f>"360902199611023821"</f>
        <v>360902199611023821</v>
      </c>
    </row>
    <row r="5656" customFormat="1" spans="1:15">
      <c r="A5656">
        <v>7216</v>
      </c>
      <c r="B5656" t="s">
        <v>5974</v>
      </c>
      <c r="C5656" t="str">
        <f>"460030199701085428"</f>
        <v>460030199701085428</v>
      </c>
      <c r="D5656" t="str">
        <f>"248030401830"</f>
        <v>248030401830</v>
      </c>
      <c r="L5656">
        <v>7216</v>
      </c>
      <c r="M5656" t="s">
        <v>5974</v>
      </c>
      <c r="N5656" t="str">
        <f>"248030401830"</f>
        <v>248030401830</v>
      </c>
      <c r="O5656" t="str">
        <f>"460030199701085428"</f>
        <v>460030199701085428</v>
      </c>
    </row>
    <row r="5657" customFormat="1" spans="1:15">
      <c r="A5657">
        <v>7217</v>
      </c>
      <c r="B5657" t="s">
        <v>5975</v>
      </c>
      <c r="C5657" t="str">
        <f>"460005200108210741"</f>
        <v>460005200108210741</v>
      </c>
      <c r="D5657" t="str">
        <f>"248030100213"</f>
        <v>248030100213</v>
      </c>
      <c r="L5657">
        <v>7217</v>
      </c>
      <c r="M5657" t="s">
        <v>5975</v>
      </c>
      <c r="N5657" t="str">
        <f>"248030100213"</f>
        <v>248030100213</v>
      </c>
      <c r="O5657" t="str">
        <f>"460005200108210741"</f>
        <v>460005200108210741</v>
      </c>
    </row>
    <row r="5658" customFormat="1" spans="1:15">
      <c r="A5658">
        <v>7218</v>
      </c>
      <c r="B5658" t="s">
        <v>5976</v>
      </c>
      <c r="C5658" t="str">
        <f>"440982199809171864"</f>
        <v>440982199809171864</v>
      </c>
      <c r="D5658" t="str">
        <f>"248030501526"</f>
        <v>248030501526</v>
      </c>
      <c r="L5658">
        <v>7218</v>
      </c>
      <c r="M5658" t="s">
        <v>5976</v>
      </c>
      <c r="N5658" t="str">
        <f>"248030501526"</f>
        <v>248030501526</v>
      </c>
      <c r="O5658" t="str">
        <f>"440982199809171864"</f>
        <v>440982199809171864</v>
      </c>
    </row>
    <row r="5659" customFormat="1" spans="1:15">
      <c r="A5659">
        <v>7219</v>
      </c>
      <c r="B5659" t="s">
        <v>5977</v>
      </c>
      <c r="C5659" t="str">
        <f>"371482199910312049"</f>
        <v>371482199910312049</v>
      </c>
      <c r="D5659" t="str">
        <f>"248030403019"</f>
        <v>248030403019</v>
      </c>
      <c r="L5659">
        <v>7219</v>
      </c>
      <c r="M5659" t="s">
        <v>5977</v>
      </c>
      <c r="N5659" t="str">
        <f>"248030403019"</f>
        <v>248030403019</v>
      </c>
      <c r="O5659" t="str">
        <f>"371482199910312049"</f>
        <v>371482199910312049</v>
      </c>
    </row>
    <row r="5660" customFormat="1" spans="1:15">
      <c r="A5660">
        <v>7220</v>
      </c>
      <c r="B5660" t="s">
        <v>737</v>
      </c>
      <c r="C5660" t="str">
        <f>"460033199411223588"</f>
        <v>460033199411223588</v>
      </c>
      <c r="D5660" t="str">
        <f>"248030403607"</f>
        <v>248030403607</v>
      </c>
      <c r="L5660">
        <v>7220</v>
      </c>
      <c r="M5660" t="s">
        <v>737</v>
      </c>
      <c r="N5660" t="str">
        <f>"248030403607"</f>
        <v>248030403607</v>
      </c>
      <c r="O5660" t="str">
        <f>"460033199411223588"</f>
        <v>460033199411223588</v>
      </c>
    </row>
    <row r="5661" customFormat="1" spans="1:15">
      <c r="A5661">
        <v>7221</v>
      </c>
      <c r="B5661" t="s">
        <v>5978</v>
      </c>
      <c r="C5661" t="str">
        <f>"460007200302156163"</f>
        <v>460007200302156163</v>
      </c>
      <c r="D5661" t="str">
        <f>"248030402620"</f>
        <v>248030402620</v>
      </c>
      <c r="L5661">
        <v>7221</v>
      </c>
      <c r="M5661" t="s">
        <v>5978</v>
      </c>
      <c r="N5661" t="str">
        <f>"248030402620"</f>
        <v>248030402620</v>
      </c>
      <c r="O5661" t="str">
        <f>"460007200302156163"</f>
        <v>460007200302156163</v>
      </c>
    </row>
    <row r="5662" customFormat="1" spans="1:15">
      <c r="A5662">
        <v>7222</v>
      </c>
      <c r="B5662" t="s">
        <v>5979</v>
      </c>
      <c r="C5662" t="str">
        <f>"460031200110210022"</f>
        <v>460031200110210022</v>
      </c>
      <c r="L5662">
        <v>7222</v>
      </c>
      <c r="M5662" t="s">
        <v>5979</v>
      </c>
      <c r="O5662" t="str">
        <f>"460031200110210022"</f>
        <v>460031200110210022</v>
      </c>
    </row>
    <row r="5663" customFormat="1" spans="1:15">
      <c r="A5663">
        <v>7223</v>
      </c>
      <c r="B5663" t="s">
        <v>5980</v>
      </c>
      <c r="C5663" t="str">
        <f>"469023199909040047"</f>
        <v>469023199909040047</v>
      </c>
      <c r="D5663" t="str">
        <f>"248030103707"</f>
        <v>248030103707</v>
      </c>
      <c r="L5663">
        <v>7223</v>
      </c>
      <c r="M5663" t="s">
        <v>5980</v>
      </c>
      <c r="N5663" t="str">
        <f>"248030103707"</f>
        <v>248030103707</v>
      </c>
      <c r="O5663" t="str">
        <f>"469023199909040047"</f>
        <v>469023199909040047</v>
      </c>
    </row>
    <row r="5664" customFormat="1" spans="1:15">
      <c r="A5664">
        <v>7224</v>
      </c>
      <c r="B5664" t="s">
        <v>5981</v>
      </c>
      <c r="C5664" t="str">
        <f>"460033199206290036"</f>
        <v>460033199206290036</v>
      </c>
      <c r="D5664" t="str">
        <f>"248030403614"</f>
        <v>248030403614</v>
      </c>
      <c r="L5664">
        <v>7224</v>
      </c>
      <c r="M5664" t="s">
        <v>5981</v>
      </c>
      <c r="N5664" t="str">
        <f>"248030403614"</f>
        <v>248030403614</v>
      </c>
      <c r="O5664" t="str">
        <f>"460033199206290036"</f>
        <v>460033199206290036</v>
      </c>
    </row>
    <row r="5665" customFormat="1" spans="1:15">
      <c r="A5665">
        <v>7225</v>
      </c>
      <c r="B5665" t="s">
        <v>5982</v>
      </c>
      <c r="C5665" t="str">
        <f>"460028199701087229"</f>
        <v>460028199701087229</v>
      </c>
      <c r="L5665">
        <v>7225</v>
      </c>
      <c r="M5665" t="s">
        <v>5982</v>
      </c>
      <c r="O5665" t="str">
        <f>"460028199701087229"</f>
        <v>460028199701087229</v>
      </c>
    </row>
    <row r="5666" customFormat="1" spans="1:15">
      <c r="A5666">
        <v>7227</v>
      </c>
      <c r="B5666" t="s">
        <v>5983</v>
      </c>
      <c r="C5666" t="str">
        <f>"36011119971014252X"</f>
        <v>36011119971014252X</v>
      </c>
      <c r="L5666">
        <v>7227</v>
      </c>
      <c r="M5666" t="s">
        <v>5983</v>
      </c>
      <c r="O5666" t="str">
        <f>"36011119971014252X"</f>
        <v>36011119971014252X</v>
      </c>
    </row>
    <row r="5667" customFormat="1" spans="1:15">
      <c r="A5667">
        <v>7228</v>
      </c>
      <c r="B5667" t="s">
        <v>5984</v>
      </c>
      <c r="C5667" t="str">
        <f>"460200199210295124"</f>
        <v>460200199210295124</v>
      </c>
      <c r="D5667" t="str">
        <f>"248030502722"</f>
        <v>248030502722</v>
      </c>
      <c r="L5667">
        <v>7228</v>
      </c>
      <c r="M5667" t="s">
        <v>5984</v>
      </c>
      <c r="N5667" t="str">
        <f>"248030502722"</f>
        <v>248030502722</v>
      </c>
      <c r="O5667" t="str">
        <f>"460200199210295124"</f>
        <v>460200199210295124</v>
      </c>
    </row>
    <row r="5668" customFormat="1" spans="1:15">
      <c r="A5668">
        <v>7229</v>
      </c>
      <c r="B5668" t="s">
        <v>5985</v>
      </c>
      <c r="C5668" t="str">
        <f>"460005200105203220"</f>
        <v>460005200105203220</v>
      </c>
      <c r="D5668" t="str">
        <f>"248030500311"</f>
        <v>248030500311</v>
      </c>
      <c r="L5668">
        <v>7229</v>
      </c>
      <c r="M5668" t="s">
        <v>5985</v>
      </c>
      <c r="N5668" t="str">
        <f>"248030500311"</f>
        <v>248030500311</v>
      </c>
      <c r="O5668" t="str">
        <f>"460005200105203220"</f>
        <v>460005200105203220</v>
      </c>
    </row>
    <row r="5669" customFormat="1" spans="1:15">
      <c r="A5669">
        <v>7230</v>
      </c>
      <c r="B5669" t="s">
        <v>5986</v>
      </c>
      <c r="C5669" t="str">
        <f>"460027200011284718"</f>
        <v>460027200011284718</v>
      </c>
      <c r="L5669">
        <v>7230</v>
      </c>
      <c r="M5669" t="s">
        <v>5986</v>
      </c>
      <c r="O5669" t="str">
        <f>"460027200011284718"</f>
        <v>460027200011284718</v>
      </c>
    </row>
    <row r="5670" customFormat="1" spans="1:15">
      <c r="A5670">
        <v>7231</v>
      </c>
      <c r="B5670" t="s">
        <v>5987</v>
      </c>
      <c r="C5670" t="str">
        <f>"460004199102060023"</f>
        <v>460004199102060023</v>
      </c>
      <c r="D5670" t="str">
        <f>"248030500401"</f>
        <v>248030500401</v>
      </c>
      <c r="L5670">
        <v>7231</v>
      </c>
      <c r="M5670" t="s">
        <v>5987</v>
      </c>
      <c r="N5670" t="str">
        <f>"248030500401"</f>
        <v>248030500401</v>
      </c>
      <c r="O5670" t="str">
        <f>"460004199102060023"</f>
        <v>460004199102060023</v>
      </c>
    </row>
    <row r="5671" customFormat="1" spans="1:15">
      <c r="A5671">
        <v>7232</v>
      </c>
      <c r="B5671" t="s">
        <v>5988</v>
      </c>
      <c r="C5671" t="str">
        <f>"469023200205032968"</f>
        <v>469023200205032968</v>
      </c>
      <c r="D5671" t="str">
        <f>"248030103428"</f>
        <v>248030103428</v>
      </c>
      <c r="L5671">
        <v>7232</v>
      </c>
      <c r="M5671" t="s">
        <v>5988</v>
      </c>
      <c r="N5671" t="str">
        <f>"248030103428"</f>
        <v>248030103428</v>
      </c>
      <c r="O5671" t="str">
        <f>"469023200205032968"</f>
        <v>469023200205032968</v>
      </c>
    </row>
    <row r="5672" customFormat="1" spans="1:15">
      <c r="A5672">
        <v>7233</v>
      </c>
      <c r="B5672" t="s">
        <v>5989</v>
      </c>
      <c r="C5672" t="str">
        <f>"469023200206020029"</f>
        <v>469023200206020029</v>
      </c>
      <c r="D5672" t="str">
        <f>"248030100130"</f>
        <v>248030100130</v>
      </c>
      <c r="L5672">
        <v>7233</v>
      </c>
      <c r="M5672" t="s">
        <v>5989</v>
      </c>
      <c r="N5672" t="str">
        <f>"248030100130"</f>
        <v>248030100130</v>
      </c>
      <c r="O5672" t="str">
        <f>"469023200206020029"</f>
        <v>469023200206020029</v>
      </c>
    </row>
    <row r="5673" customFormat="1" spans="1:15">
      <c r="A5673">
        <v>7234</v>
      </c>
      <c r="B5673" t="s">
        <v>5990</v>
      </c>
      <c r="C5673" t="str">
        <f>"460033199204124501"</f>
        <v>460033199204124501</v>
      </c>
      <c r="D5673" t="str">
        <f>"248030401603"</f>
        <v>248030401603</v>
      </c>
      <c r="L5673">
        <v>7234</v>
      </c>
      <c r="M5673" t="s">
        <v>5990</v>
      </c>
      <c r="N5673" t="str">
        <f>"248030401603"</f>
        <v>248030401603</v>
      </c>
      <c r="O5673" t="str">
        <f>"460033199204124501"</f>
        <v>460033199204124501</v>
      </c>
    </row>
    <row r="5674" customFormat="1" spans="1:15">
      <c r="A5674">
        <v>7235</v>
      </c>
      <c r="B5674" t="s">
        <v>451</v>
      </c>
      <c r="C5674" t="str">
        <f>"460007199703300028"</f>
        <v>460007199703300028</v>
      </c>
      <c r="D5674" t="str">
        <f>"248030300114"</f>
        <v>248030300114</v>
      </c>
      <c r="L5674">
        <v>7235</v>
      </c>
      <c r="M5674" t="s">
        <v>451</v>
      </c>
      <c r="N5674" t="str">
        <f>"248030300114"</f>
        <v>248030300114</v>
      </c>
      <c r="O5674" t="str">
        <f>"460007199703300028"</f>
        <v>460007199703300028</v>
      </c>
    </row>
    <row r="5675" customFormat="1" spans="1:15">
      <c r="A5675">
        <v>7238</v>
      </c>
      <c r="B5675" t="s">
        <v>5991</v>
      </c>
      <c r="C5675" t="str">
        <f>"46002219970804272X"</f>
        <v>46002219970804272X</v>
      </c>
      <c r="L5675">
        <v>7238</v>
      </c>
      <c r="M5675" t="s">
        <v>5991</v>
      </c>
      <c r="O5675" t="str">
        <f>"46002219970804272X"</f>
        <v>46002219970804272X</v>
      </c>
    </row>
    <row r="5676" customFormat="1" spans="1:15">
      <c r="A5676">
        <v>7239</v>
      </c>
      <c r="B5676" t="s">
        <v>5992</v>
      </c>
      <c r="C5676" t="str">
        <f>"232325198511163210"</f>
        <v>232325198511163210</v>
      </c>
      <c r="D5676" t="str">
        <f>"248030502724"</f>
        <v>248030502724</v>
      </c>
      <c r="L5676">
        <v>7239</v>
      </c>
      <c r="M5676" t="s">
        <v>5992</v>
      </c>
      <c r="N5676" t="str">
        <f>"248030502724"</f>
        <v>248030502724</v>
      </c>
      <c r="O5676" t="str">
        <f>"232325198511163210"</f>
        <v>232325198511163210</v>
      </c>
    </row>
    <row r="5677" customFormat="1" spans="1:15">
      <c r="A5677">
        <v>7240</v>
      </c>
      <c r="B5677" t="s">
        <v>5993</v>
      </c>
      <c r="C5677" t="str">
        <f>"360721199907276463"</f>
        <v>360721199907276463</v>
      </c>
      <c r="D5677" t="str">
        <f>"248030102305"</f>
        <v>248030102305</v>
      </c>
      <c r="L5677">
        <v>7240</v>
      </c>
      <c r="M5677" t="s">
        <v>5993</v>
      </c>
      <c r="N5677" t="str">
        <f>"248030102305"</f>
        <v>248030102305</v>
      </c>
      <c r="O5677" t="str">
        <f>"360721199907276463"</f>
        <v>360721199907276463</v>
      </c>
    </row>
    <row r="5678" customFormat="1" spans="1:15">
      <c r="A5678">
        <v>7241</v>
      </c>
      <c r="B5678" t="s">
        <v>5994</v>
      </c>
      <c r="C5678" t="str">
        <f>"469023200005250020"</f>
        <v>469023200005250020</v>
      </c>
      <c r="D5678" t="str">
        <f>"248030101022"</f>
        <v>248030101022</v>
      </c>
      <c r="L5678">
        <v>7241</v>
      </c>
      <c r="M5678" t="s">
        <v>5994</v>
      </c>
      <c r="N5678" t="str">
        <f>"248030101022"</f>
        <v>248030101022</v>
      </c>
      <c r="O5678" t="str">
        <f>"469023200005250020"</f>
        <v>469023200005250020</v>
      </c>
    </row>
    <row r="5679" customFormat="1" spans="1:15">
      <c r="A5679">
        <v>7242</v>
      </c>
      <c r="B5679" t="s">
        <v>636</v>
      </c>
      <c r="C5679" t="str">
        <f>"500381199910011221"</f>
        <v>500381199910011221</v>
      </c>
      <c r="D5679" t="str">
        <f>"248030104228"</f>
        <v>248030104228</v>
      </c>
      <c r="L5679">
        <v>7242</v>
      </c>
      <c r="M5679" t="s">
        <v>636</v>
      </c>
      <c r="N5679" t="str">
        <f>"248030104228"</f>
        <v>248030104228</v>
      </c>
      <c r="O5679" t="str">
        <f>"500381199910011221"</f>
        <v>500381199910011221</v>
      </c>
    </row>
    <row r="5680" customFormat="1" spans="1:15">
      <c r="A5680">
        <v>7243</v>
      </c>
      <c r="B5680" t="s">
        <v>5995</v>
      </c>
      <c r="C5680" t="str">
        <f>"370982200106143872"</f>
        <v>370982200106143872</v>
      </c>
      <c r="D5680" t="str">
        <f>"248030201910"</f>
        <v>248030201910</v>
      </c>
      <c r="L5680">
        <v>7243</v>
      </c>
      <c r="M5680" t="s">
        <v>5995</v>
      </c>
      <c r="N5680" t="str">
        <f>"248030201910"</f>
        <v>248030201910</v>
      </c>
      <c r="O5680" t="str">
        <f>"370982200106143872"</f>
        <v>370982200106143872</v>
      </c>
    </row>
    <row r="5681" customFormat="1" spans="1:15">
      <c r="A5681">
        <v>7244</v>
      </c>
      <c r="B5681" t="s">
        <v>5996</v>
      </c>
      <c r="C5681" t="str">
        <f>"469003200005127027"</f>
        <v>469003200005127027</v>
      </c>
      <c r="D5681" t="str">
        <f>"248030301522"</f>
        <v>248030301522</v>
      </c>
      <c r="L5681">
        <v>7244</v>
      </c>
      <c r="M5681" t="s">
        <v>5996</v>
      </c>
      <c r="N5681" t="str">
        <f>"248030301522"</f>
        <v>248030301522</v>
      </c>
      <c r="O5681" t="str">
        <f>"469003200005127027"</f>
        <v>469003200005127027</v>
      </c>
    </row>
    <row r="5682" customFormat="1" spans="1:15">
      <c r="A5682">
        <v>7245</v>
      </c>
      <c r="B5682" t="s">
        <v>5997</v>
      </c>
      <c r="C5682" t="str">
        <f>"46002720001223232X"</f>
        <v>46002720001223232X</v>
      </c>
      <c r="D5682" t="str">
        <f>"248030301921"</f>
        <v>248030301921</v>
      </c>
      <c r="L5682">
        <v>7245</v>
      </c>
      <c r="M5682" t="s">
        <v>5997</v>
      </c>
      <c r="N5682" t="str">
        <f>"248030301921"</f>
        <v>248030301921</v>
      </c>
      <c r="O5682" t="str">
        <f>"46002720001223232X"</f>
        <v>46002720001223232X</v>
      </c>
    </row>
    <row r="5683" customFormat="1" spans="1:15">
      <c r="A5683">
        <v>7247</v>
      </c>
      <c r="B5683" t="s">
        <v>5998</v>
      </c>
      <c r="C5683" t="str">
        <f>"460005199701062545"</f>
        <v>460005199701062545</v>
      </c>
      <c r="D5683" t="str">
        <f>"248030402121"</f>
        <v>248030402121</v>
      </c>
      <c r="L5683">
        <v>7247</v>
      </c>
      <c r="M5683" t="s">
        <v>5998</v>
      </c>
      <c r="N5683" t="str">
        <f>"248030402121"</f>
        <v>248030402121</v>
      </c>
      <c r="O5683" t="str">
        <f>"460005199701062545"</f>
        <v>460005199701062545</v>
      </c>
    </row>
    <row r="5684" customFormat="1" spans="1:15">
      <c r="A5684">
        <v>7248</v>
      </c>
      <c r="B5684" t="s">
        <v>5999</v>
      </c>
      <c r="C5684" t="str">
        <f>"460033200101014583"</f>
        <v>460033200101014583</v>
      </c>
      <c r="D5684" t="str">
        <f>"248030500715"</f>
        <v>248030500715</v>
      </c>
      <c r="L5684">
        <v>7248</v>
      </c>
      <c r="M5684" t="s">
        <v>5999</v>
      </c>
      <c r="N5684" t="str">
        <f>"248030500715"</f>
        <v>248030500715</v>
      </c>
      <c r="O5684" t="str">
        <f>"460033200101014583"</f>
        <v>460033200101014583</v>
      </c>
    </row>
    <row r="5685" customFormat="1" spans="1:15">
      <c r="A5685">
        <v>7249</v>
      </c>
      <c r="B5685" t="s">
        <v>6000</v>
      </c>
      <c r="C5685" t="str">
        <f>"46000219980322282X"</f>
        <v>46000219980322282X</v>
      </c>
      <c r="D5685" t="str">
        <f>"248030403428"</f>
        <v>248030403428</v>
      </c>
      <c r="L5685">
        <v>7249</v>
      </c>
      <c r="M5685" t="s">
        <v>6000</v>
      </c>
      <c r="N5685" t="str">
        <f>"248030403428"</f>
        <v>248030403428</v>
      </c>
      <c r="O5685" t="str">
        <f>"46000219980322282X"</f>
        <v>46000219980322282X</v>
      </c>
    </row>
    <row r="5686" customFormat="1" spans="1:15">
      <c r="A5686">
        <v>7250</v>
      </c>
      <c r="B5686" t="s">
        <v>6001</v>
      </c>
      <c r="C5686" t="str">
        <f>"460004199802203021"</f>
        <v>460004199802203021</v>
      </c>
      <c r="D5686" t="str">
        <f>"248030402901"</f>
        <v>248030402901</v>
      </c>
      <c r="L5686">
        <v>7250</v>
      </c>
      <c r="M5686" t="s">
        <v>6001</v>
      </c>
      <c r="N5686" t="str">
        <f>"248030402901"</f>
        <v>248030402901</v>
      </c>
      <c r="O5686" t="str">
        <f>"460004199802203021"</f>
        <v>460004199802203021</v>
      </c>
    </row>
    <row r="5687" customFormat="1" spans="1:15">
      <c r="A5687">
        <v>7251</v>
      </c>
      <c r="B5687" t="s">
        <v>6002</v>
      </c>
      <c r="C5687" t="str">
        <f>"460003199508230225"</f>
        <v>460003199508230225</v>
      </c>
      <c r="D5687" t="str">
        <f>"248030104208"</f>
        <v>248030104208</v>
      </c>
      <c r="L5687">
        <v>7251</v>
      </c>
      <c r="M5687" t="s">
        <v>6002</v>
      </c>
      <c r="N5687" t="str">
        <f>"248030104208"</f>
        <v>248030104208</v>
      </c>
      <c r="O5687" t="str">
        <f>"460003199508230225"</f>
        <v>460003199508230225</v>
      </c>
    </row>
    <row r="5688" customFormat="1" spans="1:15">
      <c r="A5688">
        <v>7252</v>
      </c>
      <c r="B5688" t="s">
        <v>6003</v>
      </c>
      <c r="C5688" t="str">
        <f>"46000419950402384X"</f>
        <v>46000419950402384X</v>
      </c>
      <c r="L5688">
        <v>7252</v>
      </c>
      <c r="M5688" t="s">
        <v>6003</v>
      </c>
      <c r="O5688" t="str">
        <f>"46000419950402384X"</f>
        <v>46000419950402384X</v>
      </c>
    </row>
    <row r="5689" customFormat="1" spans="1:15">
      <c r="A5689">
        <v>7253</v>
      </c>
      <c r="B5689" t="s">
        <v>6004</v>
      </c>
      <c r="C5689" t="str">
        <f>"130425199601063824"</f>
        <v>130425199601063824</v>
      </c>
      <c r="D5689" t="str">
        <f>"248030101909"</f>
        <v>248030101909</v>
      </c>
      <c r="L5689">
        <v>7253</v>
      </c>
      <c r="M5689" t="s">
        <v>6004</v>
      </c>
      <c r="N5689" t="str">
        <f>"248030101909"</f>
        <v>248030101909</v>
      </c>
      <c r="O5689" t="str">
        <f>"130425199601063824"</f>
        <v>130425199601063824</v>
      </c>
    </row>
    <row r="5690" customFormat="1" spans="1:15">
      <c r="A5690">
        <v>7254</v>
      </c>
      <c r="B5690" t="s">
        <v>6005</v>
      </c>
      <c r="C5690" t="str">
        <f>"460005200006221220"</f>
        <v>460005200006221220</v>
      </c>
      <c r="D5690" t="str">
        <f>"248030202520"</f>
        <v>248030202520</v>
      </c>
      <c r="L5690">
        <v>7254</v>
      </c>
      <c r="M5690" t="s">
        <v>6005</v>
      </c>
      <c r="N5690" t="str">
        <f>"248030202520"</f>
        <v>248030202520</v>
      </c>
      <c r="O5690" t="str">
        <f>"460005200006221220"</f>
        <v>460005200006221220</v>
      </c>
    </row>
    <row r="5691" customFormat="1" spans="1:15">
      <c r="A5691">
        <v>7256</v>
      </c>
      <c r="B5691" t="s">
        <v>6006</v>
      </c>
      <c r="C5691" t="str">
        <f>"460031200001035245"</f>
        <v>460031200001035245</v>
      </c>
      <c r="D5691" t="str">
        <f>"248030100427"</f>
        <v>248030100427</v>
      </c>
      <c r="L5691">
        <v>7256</v>
      </c>
      <c r="M5691" t="s">
        <v>6006</v>
      </c>
      <c r="N5691" t="str">
        <f>"248030100427"</f>
        <v>248030100427</v>
      </c>
      <c r="O5691" t="str">
        <f>"460031200001035245"</f>
        <v>460031200001035245</v>
      </c>
    </row>
    <row r="5692" customFormat="1" spans="1:15">
      <c r="A5692">
        <v>7257</v>
      </c>
      <c r="B5692" t="s">
        <v>6007</v>
      </c>
      <c r="C5692" t="str">
        <f>"460003200011121627"</f>
        <v>460003200011121627</v>
      </c>
      <c r="D5692" t="str">
        <f>"248030100913"</f>
        <v>248030100913</v>
      </c>
      <c r="L5692">
        <v>7257</v>
      </c>
      <c r="M5692" t="s">
        <v>6007</v>
      </c>
      <c r="N5692" t="str">
        <f>"248030100913"</f>
        <v>248030100913</v>
      </c>
      <c r="O5692" t="str">
        <f>"460003200011121627"</f>
        <v>460003200011121627</v>
      </c>
    </row>
    <row r="5693" customFormat="1" spans="1:15">
      <c r="A5693">
        <v>7258</v>
      </c>
      <c r="B5693" t="s">
        <v>6008</v>
      </c>
      <c r="C5693" t="str">
        <f>"460006199610176869"</f>
        <v>460006199610176869</v>
      </c>
      <c r="D5693" t="str">
        <f>"248030100525"</f>
        <v>248030100525</v>
      </c>
      <c r="L5693">
        <v>7258</v>
      </c>
      <c r="M5693" t="s">
        <v>6008</v>
      </c>
      <c r="N5693" t="str">
        <f>"248030100525"</f>
        <v>248030100525</v>
      </c>
      <c r="O5693" t="str">
        <f>"460006199610176869"</f>
        <v>460006199610176869</v>
      </c>
    </row>
    <row r="5694" customFormat="1" spans="1:15">
      <c r="A5694">
        <v>7259</v>
      </c>
      <c r="B5694" t="s">
        <v>6009</v>
      </c>
      <c r="C5694" t="str">
        <f>"460003199905062413"</f>
        <v>460003199905062413</v>
      </c>
      <c r="L5694">
        <v>7259</v>
      </c>
      <c r="M5694" t="s">
        <v>6009</v>
      </c>
      <c r="O5694" t="str">
        <f>"460003199905062413"</f>
        <v>460003199905062413</v>
      </c>
    </row>
    <row r="5695" customFormat="1" spans="1:15">
      <c r="A5695">
        <v>7260</v>
      </c>
      <c r="B5695" t="s">
        <v>6010</v>
      </c>
      <c r="C5695" t="str">
        <f>"460004199604202423"</f>
        <v>460004199604202423</v>
      </c>
      <c r="D5695" t="str">
        <f>"248030502912"</f>
        <v>248030502912</v>
      </c>
      <c r="L5695">
        <v>7260</v>
      </c>
      <c r="M5695" t="s">
        <v>6010</v>
      </c>
      <c r="N5695" t="str">
        <f>"248030502912"</f>
        <v>248030502912</v>
      </c>
      <c r="O5695" t="str">
        <f>"460004199604202423"</f>
        <v>460004199604202423</v>
      </c>
    </row>
    <row r="5696" customFormat="1" spans="1:15">
      <c r="A5696">
        <v>7261</v>
      </c>
      <c r="B5696" t="s">
        <v>6011</v>
      </c>
      <c r="C5696" t="str">
        <f>"422802200010175043"</f>
        <v>422802200010175043</v>
      </c>
      <c r="D5696" t="str">
        <f>"248030300703"</f>
        <v>248030300703</v>
      </c>
      <c r="L5696">
        <v>7261</v>
      </c>
      <c r="M5696" t="s">
        <v>6011</v>
      </c>
      <c r="N5696" t="str">
        <f>"248030300703"</f>
        <v>248030300703</v>
      </c>
      <c r="O5696" t="str">
        <f>"422802200010175043"</f>
        <v>422802200010175043</v>
      </c>
    </row>
    <row r="5697" customFormat="1" spans="1:15">
      <c r="A5697">
        <v>7262</v>
      </c>
      <c r="B5697" t="s">
        <v>433</v>
      </c>
      <c r="C5697" t="str">
        <f>"460025200008111522"</f>
        <v>460025200008111522</v>
      </c>
      <c r="D5697" t="str">
        <f>"248030502320"</f>
        <v>248030502320</v>
      </c>
      <c r="L5697">
        <v>7262</v>
      </c>
      <c r="M5697" t="s">
        <v>433</v>
      </c>
      <c r="N5697" t="str">
        <f>"248030502320"</f>
        <v>248030502320</v>
      </c>
      <c r="O5697" t="str">
        <f>"460025200008111522"</f>
        <v>460025200008111522</v>
      </c>
    </row>
    <row r="5698" customFormat="1" spans="1:15">
      <c r="A5698">
        <v>7263</v>
      </c>
      <c r="B5698" t="s">
        <v>6012</v>
      </c>
      <c r="C5698" t="str">
        <f>"230422199703062448"</f>
        <v>230422199703062448</v>
      </c>
      <c r="D5698" t="str">
        <f>"248030101326"</f>
        <v>248030101326</v>
      </c>
      <c r="L5698">
        <v>7263</v>
      </c>
      <c r="M5698" t="s">
        <v>6012</v>
      </c>
      <c r="N5698" t="str">
        <f>"248030101326"</f>
        <v>248030101326</v>
      </c>
      <c r="O5698" t="str">
        <f>"230422199703062448"</f>
        <v>230422199703062448</v>
      </c>
    </row>
    <row r="5699" customFormat="1" spans="1:15">
      <c r="A5699">
        <v>7264</v>
      </c>
      <c r="B5699" t="s">
        <v>6013</v>
      </c>
      <c r="C5699" t="str">
        <f>"46010419980221122X"</f>
        <v>46010419980221122X</v>
      </c>
      <c r="L5699">
        <v>7264</v>
      </c>
      <c r="M5699" t="s">
        <v>6013</v>
      </c>
      <c r="O5699" t="str">
        <f>"46010419980221122X"</f>
        <v>46010419980221122X</v>
      </c>
    </row>
    <row r="5700" customFormat="1" spans="1:15">
      <c r="A5700">
        <v>7265</v>
      </c>
      <c r="B5700" t="s">
        <v>5679</v>
      </c>
      <c r="C5700" t="str">
        <f>"460033199305161782"</f>
        <v>460033199305161782</v>
      </c>
      <c r="L5700">
        <v>7265</v>
      </c>
      <c r="M5700" t="s">
        <v>5679</v>
      </c>
      <c r="O5700" t="str">
        <f>"460033199305161782"</f>
        <v>460033199305161782</v>
      </c>
    </row>
    <row r="5701" customFormat="1" spans="1:15">
      <c r="A5701">
        <v>7266</v>
      </c>
      <c r="B5701" t="s">
        <v>6014</v>
      </c>
      <c r="C5701" t="str">
        <f>"150302200103041525"</f>
        <v>150302200103041525</v>
      </c>
      <c r="D5701" t="str">
        <f>"248030103603"</f>
        <v>248030103603</v>
      </c>
      <c r="L5701">
        <v>7266</v>
      </c>
      <c r="M5701" t="s">
        <v>6014</v>
      </c>
      <c r="N5701" t="str">
        <f>"248030103603"</f>
        <v>248030103603</v>
      </c>
      <c r="O5701" t="str">
        <f>"150302200103041525"</f>
        <v>150302200103041525</v>
      </c>
    </row>
    <row r="5702" customFormat="1" spans="1:15">
      <c r="A5702">
        <v>7267</v>
      </c>
      <c r="B5702" t="s">
        <v>6015</v>
      </c>
      <c r="C5702" t="str">
        <f>"469005200110170548"</f>
        <v>469005200110170548</v>
      </c>
      <c r="D5702" t="str">
        <f>"248030400804"</f>
        <v>248030400804</v>
      </c>
      <c r="L5702">
        <v>7267</v>
      </c>
      <c r="M5702" t="s">
        <v>6015</v>
      </c>
      <c r="N5702" t="str">
        <f>"248030400804"</f>
        <v>248030400804</v>
      </c>
      <c r="O5702" t="str">
        <f>"469005200110170548"</f>
        <v>469005200110170548</v>
      </c>
    </row>
    <row r="5703" customFormat="1" spans="1:15">
      <c r="A5703">
        <v>7268</v>
      </c>
      <c r="B5703" t="s">
        <v>6016</v>
      </c>
      <c r="C5703" t="str">
        <f>"460030200107110016"</f>
        <v>460030200107110016</v>
      </c>
      <c r="D5703" t="str">
        <f>"248030201210"</f>
        <v>248030201210</v>
      </c>
      <c r="L5703">
        <v>7268</v>
      </c>
      <c r="M5703" t="s">
        <v>6016</v>
      </c>
      <c r="N5703" t="str">
        <f>"248030201210"</f>
        <v>248030201210</v>
      </c>
      <c r="O5703" t="str">
        <f>"460030200107110016"</f>
        <v>460030200107110016</v>
      </c>
    </row>
    <row r="5704" customFormat="1" spans="1:15">
      <c r="A5704">
        <v>7270</v>
      </c>
      <c r="B5704" t="s">
        <v>6017</v>
      </c>
      <c r="C5704" t="str">
        <f>"460006200111264018"</f>
        <v>460006200111264018</v>
      </c>
      <c r="D5704" t="str">
        <f>"248030104501"</f>
        <v>248030104501</v>
      </c>
      <c r="L5704">
        <v>7270</v>
      </c>
      <c r="M5704" t="s">
        <v>6017</v>
      </c>
      <c r="N5704" t="str">
        <f>"248030104501"</f>
        <v>248030104501</v>
      </c>
      <c r="O5704" t="str">
        <f>"460006200111264018"</f>
        <v>460006200111264018</v>
      </c>
    </row>
    <row r="5705" customFormat="1" spans="1:15">
      <c r="A5705">
        <v>7273</v>
      </c>
      <c r="B5705" t="s">
        <v>6018</v>
      </c>
      <c r="C5705" t="str">
        <f>"460004199604102027"</f>
        <v>460004199604102027</v>
      </c>
      <c r="D5705" t="str">
        <f>"248030201807"</f>
        <v>248030201807</v>
      </c>
      <c r="L5705">
        <v>7273</v>
      </c>
      <c r="M5705" t="s">
        <v>6018</v>
      </c>
      <c r="N5705" t="str">
        <f>"248030201807"</f>
        <v>248030201807</v>
      </c>
      <c r="O5705" t="str">
        <f>"460004199604102027"</f>
        <v>460004199604102027</v>
      </c>
    </row>
    <row r="5706" customFormat="1" spans="1:15">
      <c r="A5706">
        <v>7274</v>
      </c>
      <c r="B5706" t="s">
        <v>581</v>
      </c>
      <c r="C5706" t="str">
        <f>"460027199901192326"</f>
        <v>460027199901192326</v>
      </c>
      <c r="D5706" t="str">
        <f>"248030504230"</f>
        <v>248030504230</v>
      </c>
      <c r="L5706">
        <v>7274</v>
      </c>
      <c r="M5706" t="s">
        <v>581</v>
      </c>
      <c r="N5706" t="str">
        <f>"248030504230"</f>
        <v>248030504230</v>
      </c>
      <c r="O5706" t="str">
        <f>"460027199901192326"</f>
        <v>460027199901192326</v>
      </c>
    </row>
    <row r="5707" customFormat="1" spans="1:15">
      <c r="A5707">
        <v>7275</v>
      </c>
      <c r="B5707" t="s">
        <v>6019</v>
      </c>
      <c r="C5707" t="str">
        <f>"460104199710301228"</f>
        <v>460104199710301228</v>
      </c>
      <c r="D5707" t="str">
        <f>"248030104209"</f>
        <v>248030104209</v>
      </c>
      <c r="L5707">
        <v>7275</v>
      </c>
      <c r="M5707" t="s">
        <v>6019</v>
      </c>
      <c r="N5707" t="str">
        <f>"248030104209"</f>
        <v>248030104209</v>
      </c>
      <c r="O5707" t="str">
        <f>"460104199710301228"</f>
        <v>460104199710301228</v>
      </c>
    </row>
    <row r="5708" customFormat="1" spans="1:15">
      <c r="A5708">
        <v>7276</v>
      </c>
      <c r="B5708" t="s">
        <v>6020</v>
      </c>
      <c r="C5708" t="str">
        <f>"460006199104240629"</f>
        <v>460006199104240629</v>
      </c>
      <c r="D5708" t="str">
        <f>"248030302127"</f>
        <v>248030302127</v>
      </c>
      <c r="L5708">
        <v>7276</v>
      </c>
      <c r="M5708" t="s">
        <v>6020</v>
      </c>
      <c r="N5708" t="str">
        <f>"248030302127"</f>
        <v>248030302127</v>
      </c>
      <c r="O5708" t="str">
        <f>"460006199104240629"</f>
        <v>460006199104240629</v>
      </c>
    </row>
    <row r="5709" customFormat="1" spans="1:15">
      <c r="A5709">
        <v>7278</v>
      </c>
      <c r="B5709" t="s">
        <v>6021</v>
      </c>
      <c r="C5709" t="str">
        <f>"46000619970821232X"</f>
        <v>46000619970821232X</v>
      </c>
      <c r="L5709">
        <v>7278</v>
      </c>
      <c r="M5709" t="s">
        <v>6021</v>
      </c>
      <c r="O5709" t="str">
        <f>"46000619970821232X"</f>
        <v>46000619970821232X</v>
      </c>
    </row>
    <row r="5710" customFormat="1" spans="1:15">
      <c r="A5710">
        <v>7279</v>
      </c>
      <c r="B5710" t="s">
        <v>6022</v>
      </c>
      <c r="C5710" t="str">
        <f>"612430199606041314"</f>
        <v>612430199606041314</v>
      </c>
      <c r="D5710" t="str">
        <f>"248030202208"</f>
        <v>248030202208</v>
      </c>
      <c r="L5710">
        <v>7279</v>
      </c>
      <c r="M5710" t="s">
        <v>6022</v>
      </c>
      <c r="N5710" t="str">
        <f>"248030202208"</f>
        <v>248030202208</v>
      </c>
      <c r="O5710" t="str">
        <f>"612430199606041314"</f>
        <v>612430199606041314</v>
      </c>
    </row>
    <row r="5711" customFormat="1" spans="1:15">
      <c r="A5711">
        <v>7280</v>
      </c>
      <c r="B5711" t="s">
        <v>6023</v>
      </c>
      <c r="C5711" t="str">
        <f>"469024200103162426"</f>
        <v>469024200103162426</v>
      </c>
      <c r="L5711">
        <v>7280</v>
      </c>
      <c r="M5711" t="s">
        <v>6023</v>
      </c>
      <c r="O5711" t="str">
        <f>"469024200103162426"</f>
        <v>469024200103162426</v>
      </c>
    </row>
    <row r="5712" customFormat="1" spans="1:15">
      <c r="A5712">
        <v>7282</v>
      </c>
      <c r="B5712" t="s">
        <v>6024</v>
      </c>
      <c r="C5712" t="str">
        <f>"469024200106271214"</f>
        <v>469024200106271214</v>
      </c>
      <c r="D5712" t="str">
        <f>"248030201613"</f>
        <v>248030201613</v>
      </c>
      <c r="L5712">
        <v>7282</v>
      </c>
      <c r="M5712" t="s">
        <v>6024</v>
      </c>
      <c r="N5712" t="str">
        <f>"248030201613"</f>
        <v>248030201613</v>
      </c>
      <c r="O5712" t="str">
        <f>"469024200106271214"</f>
        <v>469024200106271214</v>
      </c>
    </row>
    <row r="5713" customFormat="1" spans="1:15">
      <c r="A5713">
        <v>7283</v>
      </c>
      <c r="B5713" t="s">
        <v>6025</v>
      </c>
      <c r="C5713" t="str">
        <f>"460027200203012960"</f>
        <v>460027200203012960</v>
      </c>
      <c r="D5713" t="str">
        <f>"248030201305"</f>
        <v>248030201305</v>
      </c>
      <c r="L5713">
        <v>7283</v>
      </c>
      <c r="M5713" t="s">
        <v>6025</v>
      </c>
      <c r="N5713" t="str">
        <f>"248030201305"</f>
        <v>248030201305</v>
      </c>
      <c r="O5713" t="str">
        <f>"460027200203012960"</f>
        <v>460027200203012960</v>
      </c>
    </row>
    <row r="5714" customFormat="1" spans="1:15">
      <c r="A5714">
        <v>7284</v>
      </c>
      <c r="B5714" t="s">
        <v>6026</v>
      </c>
      <c r="C5714" t="str">
        <f>"460007199712237622"</f>
        <v>460007199712237622</v>
      </c>
      <c r="D5714" t="str">
        <f>"248030504308"</f>
        <v>248030504308</v>
      </c>
      <c r="L5714">
        <v>7284</v>
      </c>
      <c r="M5714" t="s">
        <v>6026</v>
      </c>
      <c r="N5714" t="str">
        <f>"248030504308"</f>
        <v>248030504308</v>
      </c>
      <c r="O5714" t="str">
        <f>"460007199712237622"</f>
        <v>460007199712237622</v>
      </c>
    </row>
    <row r="5715" customFormat="1" spans="1:15">
      <c r="A5715">
        <v>7285</v>
      </c>
      <c r="B5715" t="s">
        <v>6027</v>
      </c>
      <c r="C5715" t="str">
        <f>"460002200206050324"</f>
        <v>460002200206050324</v>
      </c>
      <c r="D5715" t="str">
        <f>"248030101614"</f>
        <v>248030101614</v>
      </c>
      <c r="L5715">
        <v>7285</v>
      </c>
      <c r="M5715" t="s">
        <v>6027</v>
      </c>
      <c r="N5715" t="str">
        <f>"248030101614"</f>
        <v>248030101614</v>
      </c>
      <c r="O5715" t="str">
        <f>"460002200206050324"</f>
        <v>460002200206050324</v>
      </c>
    </row>
    <row r="5716" customFormat="1" spans="1:15">
      <c r="A5716">
        <v>7286</v>
      </c>
      <c r="B5716" t="s">
        <v>6028</v>
      </c>
      <c r="C5716" t="str">
        <f>"46000420000926342X"</f>
        <v>46000420000926342X</v>
      </c>
      <c r="D5716" t="str">
        <f>"248030504108"</f>
        <v>248030504108</v>
      </c>
      <c r="L5716">
        <v>7286</v>
      </c>
      <c r="M5716" t="s">
        <v>6028</v>
      </c>
      <c r="N5716" t="str">
        <f>"248030504108"</f>
        <v>248030504108</v>
      </c>
      <c r="O5716" t="str">
        <f>"46000420000926342X"</f>
        <v>46000420000926342X</v>
      </c>
    </row>
    <row r="5717" customFormat="1" spans="1:15">
      <c r="A5717">
        <v>7287</v>
      </c>
      <c r="B5717" t="s">
        <v>6029</v>
      </c>
      <c r="C5717" t="str">
        <f>"469003200110115327"</f>
        <v>469003200110115327</v>
      </c>
      <c r="D5717" t="str">
        <f>"248030301018"</f>
        <v>248030301018</v>
      </c>
      <c r="L5717">
        <v>7287</v>
      </c>
      <c r="M5717" t="s">
        <v>6029</v>
      </c>
      <c r="N5717" t="str">
        <f>"248030301018"</f>
        <v>248030301018</v>
      </c>
      <c r="O5717" t="str">
        <f>"469003200110115327"</f>
        <v>469003200110115327</v>
      </c>
    </row>
    <row r="5718" customFormat="1" spans="1:15">
      <c r="A5718">
        <v>7288</v>
      </c>
      <c r="B5718" t="s">
        <v>6030</v>
      </c>
      <c r="C5718" t="str">
        <f>"231026199706132127"</f>
        <v>231026199706132127</v>
      </c>
      <c r="L5718">
        <v>7288</v>
      </c>
      <c r="M5718" t="s">
        <v>6030</v>
      </c>
      <c r="O5718" t="str">
        <f>"231026199706132127"</f>
        <v>231026199706132127</v>
      </c>
    </row>
    <row r="5719" customFormat="1" spans="1:15">
      <c r="A5719">
        <v>7289</v>
      </c>
      <c r="B5719" t="s">
        <v>3248</v>
      </c>
      <c r="C5719" t="str">
        <f>"210623199503060986"</f>
        <v>210623199503060986</v>
      </c>
      <c r="D5719" t="str">
        <f>"248030401026"</f>
        <v>248030401026</v>
      </c>
      <c r="L5719">
        <v>7289</v>
      </c>
      <c r="M5719" t="s">
        <v>3248</v>
      </c>
      <c r="N5719" t="str">
        <f>"248030401026"</f>
        <v>248030401026</v>
      </c>
      <c r="O5719" t="str">
        <f>"210623199503060986"</f>
        <v>210623199503060986</v>
      </c>
    </row>
    <row r="5720" customFormat="1" spans="1:15">
      <c r="A5720">
        <v>7290</v>
      </c>
      <c r="B5720" t="s">
        <v>6031</v>
      </c>
      <c r="C5720" t="str">
        <f>"460103200202210329"</f>
        <v>460103200202210329</v>
      </c>
      <c r="D5720" t="str">
        <f>"248030104415"</f>
        <v>248030104415</v>
      </c>
      <c r="L5720">
        <v>7290</v>
      </c>
      <c r="M5720" t="s">
        <v>6031</v>
      </c>
      <c r="N5720" t="str">
        <f>"248030104415"</f>
        <v>248030104415</v>
      </c>
      <c r="O5720" t="str">
        <f>"460103200202210329"</f>
        <v>460103200202210329</v>
      </c>
    </row>
    <row r="5721" customFormat="1" spans="1:15">
      <c r="A5721">
        <v>7291</v>
      </c>
      <c r="B5721" t="s">
        <v>6032</v>
      </c>
      <c r="C5721" t="str">
        <f>"469023200203276635"</f>
        <v>469023200203276635</v>
      </c>
      <c r="D5721" t="str">
        <f>"248030201303"</f>
        <v>248030201303</v>
      </c>
      <c r="L5721">
        <v>7291</v>
      </c>
      <c r="M5721" t="s">
        <v>6032</v>
      </c>
      <c r="N5721" t="str">
        <f>"248030201303"</f>
        <v>248030201303</v>
      </c>
      <c r="O5721" t="str">
        <f>"469023200203276635"</f>
        <v>469023200203276635</v>
      </c>
    </row>
    <row r="5722" customFormat="1" spans="1:15">
      <c r="A5722">
        <v>7292</v>
      </c>
      <c r="B5722" t="s">
        <v>6033</v>
      </c>
      <c r="C5722" t="str">
        <f>"460005200012305121"</f>
        <v>460005200012305121</v>
      </c>
      <c r="D5722" t="str">
        <f>"248030202117"</f>
        <v>248030202117</v>
      </c>
      <c r="L5722">
        <v>7292</v>
      </c>
      <c r="M5722" t="s">
        <v>6033</v>
      </c>
      <c r="N5722" t="str">
        <f>"248030202117"</f>
        <v>248030202117</v>
      </c>
      <c r="O5722" t="str">
        <f>"460005200012305121"</f>
        <v>460005200012305121</v>
      </c>
    </row>
    <row r="5723" customFormat="1" spans="1:15">
      <c r="A5723">
        <v>7293</v>
      </c>
      <c r="B5723" t="s">
        <v>6034</v>
      </c>
      <c r="C5723" t="str">
        <f>"460103199802221827"</f>
        <v>460103199802221827</v>
      </c>
      <c r="D5723" t="str">
        <f>"248030104217"</f>
        <v>248030104217</v>
      </c>
      <c r="L5723">
        <v>7293</v>
      </c>
      <c r="M5723" t="s">
        <v>6034</v>
      </c>
      <c r="N5723" t="str">
        <f>"248030104217"</f>
        <v>248030104217</v>
      </c>
      <c r="O5723" t="str">
        <f>"460103199802221827"</f>
        <v>460103199802221827</v>
      </c>
    </row>
    <row r="5724" customFormat="1" spans="1:15">
      <c r="A5724">
        <v>7297</v>
      </c>
      <c r="B5724" t="s">
        <v>6035</v>
      </c>
      <c r="C5724" t="str">
        <f>"460027199609243720"</f>
        <v>460027199609243720</v>
      </c>
      <c r="D5724" t="str">
        <f>"248030301623"</f>
        <v>248030301623</v>
      </c>
      <c r="L5724">
        <v>7297</v>
      </c>
      <c r="M5724" t="s">
        <v>6035</v>
      </c>
      <c r="N5724" t="str">
        <f>"248030301623"</f>
        <v>248030301623</v>
      </c>
      <c r="O5724" t="str">
        <f>"460027199609243720"</f>
        <v>460027199609243720</v>
      </c>
    </row>
    <row r="5725" customFormat="1" spans="1:15">
      <c r="A5725">
        <v>7298</v>
      </c>
      <c r="B5725" t="s">
        <v>6036</v>
      </c>
      <c r="C5725" t="str">
        <f>"460004199704110446"</f>
        <v>460004199704110446</v>
      </c>
      <c r="L5725">
        <v>7298</v>
      </c>
      <c r="M5725" t="s">
        <v>6036</v>
      </c>
      <c r="O5725" t="str">
        <f>"460004199704110446"</f>
        <v>460004199704110446</v>
      </c>
    </row>
    <row r="5726" customFormat="1" spans="1:15">
      <c r="A5726">
        <v>7300</v>
      </c>
      <c r="B5726" t="s">
        <v>6037</v>
      </c>
      <c r="C5726" t="str">
        <f>"141022200010170035"</f>
        <v>141022200010170035</v>
      </c>
      <c r="D5726" t="str">
        <f>"248030202308"</f>
        <v>248030202308</v>
      </c>
      <c r="L5726">
        <v>7300</v>
      </c>
      <c r="M5726" t="s">
        <v>6037</v>
      </c>
      <c r="N5726" t="str">
        <f>"248030202308"</f>
        <v>248030202308</v>
      </c>
      <c r="O5726" t="str">
        <f>"141022200010170035"</f>
        <v>141022200010170035</v>
      </c>
    </row>
    <row r="5727" customFormat="1" spans="1:15">
      <c r="A5727">
        <v>7301</v>
      </c>
      <c r="B5727" t="s">
        <v>6038</v>
      </c>
      <c r="C5727" t="str">
        <f>"460007200206085027"</f>
        <v>460007200206085027</v>
      </c>
      <c r="D5727" t="str">
        <f>"248030300704"</f>
        <v>248030300704</v>
      </c>
      <c r="L5727">
        <v>7301</v>
      </c>
      <c r="M5727" t="s">
        <v>6038</v>
      </c>
      <c r="N5727" t="str">
        <f>"248030300704"</f>
        <v>248030300704</v>
      </c>
      <c r="O5727" t="str">
        <f>"460007200206085027"</f>
        <v>460007200206085027</v>
      </c>
    </row>
    <row r="5728" customFormat="1" spans="1:15">
      <c r="A5728">
        <v>7302</v>
      </c>
      <c r="B5728" t="s">
        <v>6039</v>
      </c>
      <c r="C5728" t="str">
        <f>"460002200011140020"</f>
        <v>460002200011140020</v>
      </c>
      <c r="D5728" t="str">
        <f>"248030202628"</f>
        <v>248030202628</v>
      </c>
      <c r="L5728">
        <v>7302</v>
      </c>
      <c r="M5728" t="s">
        <v>6039</v>
      </c>
      <c r="N5728" t="str">
        <f>"248030202628"</f>
        <v>248030202628</v>
      </c>
      <c r="O5728" t="str">
        <f>"460002200011140020"</f>
        <v>460002200011140020</v>
      </c>
    </row>
    <row r="5729" customFormat="1" spans="1:15">
      <c r="A5729">
        <v>7303</v>
      </c>
      <c r="B5729" t="s">
        <v>6040</v>
      </c>
      <c r="C5729" t="str">
        <f>"460104200204040024"</f>
        <v>460104200204040024</v>
      </c>
      <c r="D5729" t="str">
        <f>"248030503225"</f>
        <v>248030503225</v>
      </c>
      <c r="L5729">
        <v>7303</v>
      </c>
      <c r="M5729" t="s">
        <v>6040</v>
      </c>
      <c r="N5729" t="str">
        <f>"248030503225"</f>
        <v>248030503225</v>
      </c>
      <c r="O5729" t="str">
        <f>"460104200204040024"</f>
        <v>460104200204040024</v>
      </c>
    </row>
    <row r="5730" customFormat="1" spans="1:15">
      <c r="A5730">
        <v>7304</v>
      </c>
      <c r="B5730" t="s">
        <v>6041</v>
      </c>
      <c r="C5730" t="str">
        <f>"230921199806040023"</f>
        <v>230921199806040023</v>
      </c>
      <c r="D5730" t="str">
        <f>"248030401526"</f>
        <v>248030401526</v>
      </c>
      <c r="L5730">
        <v>7304</v>
      </c>
      <c r="M5730" t="s">
        <v>6041</v>
      </c>
      <c r="N5730" t="str">
        <f>"248030401526"</f>
        <v>248030401526</v>
      </c>
      <c r="O5730" t="str">
        <f>"230921199806040023"</f>
        <v>230921199806040023</v>
      </c>
    </row>
    <row r="5731" customFormat="1" spans="1:15">
      <c r="A5731">
        <v>7306</v>
      </c>
      <c r="B5731" t="s">
        <v>6042</v>
      </c>
      <c r="C5731" t="str">
        <f>"410702199805101529"</f>
        <v>410702199805101529</v>
      </c>
      <c r="D5731" t="str">
        <f>"248030502825"</f>
        <v>248030502825</v>
      </c>
      <c r="L5731">
        <v>7306</v>
      </c>
      <c r="M5731" t="s">
        <v>6042</v>
      </c>
      <c r="N5731" t="str">
        <f>"248030502825"</f>
        <v>248030502825</v>
      </c>
      <c r="O5731" t="str">
        <f>"410702199805101529"</f>
        <v>410702199805101529</v>
      </c>
    </row>
    <row r="5732" customFormat="1" spans="1:15">
      <c r="A5732">
        <v>7307</v>
      </c>
      <c r="B5732" t="s">
        <v>6043</v>
      </c>
      <c r="C5732" t="str">
        <f>"460107199911032625"</f>
        <v>460107199911032625</v>
      </c>
      <c r="D5732" t="str">
        <f>"248030401415"</f>
        <v>248030401415</v>
      </c>
      <c r="L5732">
        <v>7307</v>
      </c>
      <c r="M5732" t="s">
        <v>6043</v>
      </c>
      <c r="N5732" t="str">
        <f>"248030401415"</f>
        <v>248030401415</v>
      </c>
      <c r="O5732" t="str">
        <f>"460107199911032625"</f>
        <v>460107199911032625</v>
      </c>
    </row>
    <row r="5733" customFormat="1" spans="1:15">
      <c r="A5733">
        <v>7308</v>
      </c>
      <c r="B5733" t="s">
        <v>6044</v>
      </c>
      <c r="C5733" t="str">
        <f>"460028200310012428"</f>
        <v>460028200310012428</v>
      </c>
      <c r="D5733" t="str">
        <f>"248030300903"</f>
        <v>248030300903</v>
      </c>
      <c r="L5733">
        <v>7308</v>
      </c>
      <c r="M5733" t="s">
        <v>6044</v>
      </c>
      <c r="N5733" t="str">
        <f>"248030300903"</f>
        <v>248030300903</v>
      </c>
      <c r="O5733" t="str">
        <f>"460028200310012428"</f>
        <v>460028200310012428</v>
      </c>
    </row>
    <row r="5734" customFormat="1" spans="1:15">
      <c r="A5734">
        <v>7309</v>
      </c>
      <c r="B5734" t="s">
        <v>6045</v>
      </c>
      <c r="C5734" t="str">
        <f>"532527199702270018"</f>
        <v>532527199702270018</v>
      </c>
      <c r="L5734">
        <v>7309</v>
      </c>
      <c r="M5734" t="s">
        <v>6045</v>
      </c>
      <c r="O5734" t="str">
        <f>"532527199702270018"</f>
        <v>532527199702270018</v>
      </c>
    </row>
    <row r="5735" customFormat="1" spans="1:15">
      <c r="A5735">
        <v>7310</v>
      </c>
      <c r="B5735" t="s">
        <v>6046</v>
      </c>
      <c r="C5735" t="str">
        <f>"460034200104185018"</f>
        <v>460034200104185018</v>
      </c>
      <c r="D5735" t="str">
        <f>"248030302328"</f>
        <v>248030302328</v>
      </c>
      <c r="L5735">
        <v>7310</v>
      </c>
      <c r="M5735" t="s">
        <v>6046</v>
      </c>
      <c r="N5735" t="str">
        <f>"248030302328"</f>
        <v>248030302328</v>
      </c>
      <c r="O5735" t="str">
        <f>"460034200104185018"</f>
        <v>460034200104185018</v>
      </c>
    </row>
    <row r="5736" customFormat="1" spans="1:15">
      <c r="A5736">
        <v>7311</v>
      </c>
      <c r="B5736" t="s">
        <v>6047</v>
      </c>
      <c r="C5736" t="str">
        <f>"460006200001221324"</f>
        <v>460006200001221324</v>
      </c>
      <c r="D5736" t="str">
        <f>"248030400521"</f>
        <v>248030400521</v>
      </c>
      <c r="L5736">
        <v>7311</v>
      </c>
      <c r="M5736" t="s">
        <v>6047</v>
      </c>
      <c r="N5736" t="str">
        <f>"248030400521"</f>
        <v>248030400521</v>
      </c>
      <c r="O5736" t="str">
        <f>"460006200001221324"</f>
        <v>460006200001221324</v>
      </c>
    </row>
    <row r="5737" customFormat="1" spans="1:15">
      <c r="A5737">
        <v>7312</v>
      </c>
      <c r="B5737" t="s">
        <v>6048</v>
      </c>
      <c r="C5737" t="str">
        <f>"460200199904080048"</f>
        <v>460200199904080048</v>
      </c>
      <c r="D5737" t="str">
        <f>"248030403112"</f>
        <v>248030403112</v>
      </c>
      <c r="L5737">
        <v>7312</v>
      </c>
      <c r="M5737" t="s">
        <v>6048</v>
      </c>
      <c r="N5737" t="str">
        <f>"248030403112"</f>
        <v>248030403112</v>
      </c>
      <c r="O5737" t="str">
        <f>"460200199904080048"</f>
        <v>460200199904080048</v>
      </c>
    </row>
    <row r="5738" customFormat="1" spans="1:15">
      <c r="A5738">
        <v>7313</v>
      </c>
      <c r="B5738" t="s">
        <v>6049</v>
      </c>
      <c r="C5738" t="str">
        <f>"46020019990515052X"</f>
        <v>46020019990515052X</v>
      </c>
      <c r="L5738">
        <v>7313</v>
      </c>
      <c r="M5738" t="s">
        <v>6049</v>
      </c>
      <c r="O5738" t="str">
        <f>"46020019990515052X"</f>
        <v>46020019990515052X</v>
      </c>
    </row>
    <row r="5739" customFormat="1" spans="1:15">
      <c r="A5739">
        <v>7315</v>
      </c>
      <c r="B5739" t="s">
        <v>6050</v>
      </c>
      <c r="C5739" t="str">
        <f>"460004199307303666"</f>
        <v>460004199307303666</v>
      </c>
      <c r="L5739">
        <v>7315</v>
      </c>
      <c r="M5739" t="s">
        <v>6050</v>
      </c>
      <c r="O5739" t="str">
        <f>"460004199307303666"</f>
        <v>460004199307303666</v>
      </c>
    </row>
    <row r="5740" customFormat="1" spans="1:15">
      <c r="A5740">
        <v>7316</v>
      </c>
      <c r="B5740" t="s">
        <v>6051</v>
      </c>
      <c r="C5740" t="str">
        <f>"460028199908300824"</f>
        <v>460028199908300824</v>
      </c>
      <c r="D5740" t="str">
        <f>"248030102625"</f>
        <v>248030102625</v>
      </c>
      <c r="L5740">
        <v>7316</v>
      </c>
      <c r="M5740" t="s">
        <v>6051</v>
      </c>
      <c r="N5740" t="str">
        <f>"248030102625"</f>
        <v>248030102625</v>
      </c>
      <c r="O5740" t="str">
        <f>"460028199908300824"</f>
        <v>460028199908300824</v>
      </c>
    </row>
    <row r="5741" customFormat="1" spans="1:15">
      <c r="A5741">
        <v>7317</v>
      </c>
      <c r="B5741" t="s">
        <v>2171</v>
      </c>
      <c r="C5741" t="str">
        <f>"460200198605071665"</f>
        <v>460200198605071665</v>
      </c>
      <c r="L5741">
        <v>7317</v>
      </c>
      <c r="M5741" t="s">
        <v>2171</v>
      </c>
      <c r="O5741" t="str">
        <f>"460200198605071665"</f>
        <v>460200198605071665</v>
      </c>
    </row>
    <row r="5742" customFormat="1" spans="1:15">
      <c r="A5742">
        <v>7318</v>
      </c>
      <c r="B5742" t="s">
        <v>6052</v>
      </c>
      <c r="C5742" t="str">
        <f>"469024200110052823"</f>
        <v>469024200110052823</v>
      </c>
      <c r="L5742">
        <v>7318</v>
      </c>
      <c r="M5742" t="s">
        <v>6052</v>
      </c>
      <c r="O5742" t="str">
        <f>"469024200110052823"</f>
        <v>469024200110052823</v>
      </c>
    </row>
    <row r="5743" customFormat="1" spans="1:15">
      <c r="A5743">
        <v>7319</v>
      </c>
      <c r="B5743" t="s">
        <v>6053</v>
      </c>
      <c r="C5743" t="str">
        <f>"460003200207145620"</f>
        <v>460003200207145620</v>
      </c>
      <c r="D5743" t="str">
        <f>"248030202629"</f>
        <v>248030202629</v>
      </c>
      <c r="L5743">
        <v>7319</v>
      </c>
      <c r="M5743" t="s">
        <v>6053</v>
      </c>
      <c r="N5743" t="str">
        <f>"248030202629"</f>
        <v>248030202629</v>
      </c>
      <c r="O5743" t="str">
        <f>"460003200207145620"</f>
        <v>460003200207145620</v>
      </c>
    </row>
    <row r="5744" customFormat="1" spans="1:15">
      <c r="A5744">
        <v>7320</v>
      </c>
      <c r="B5744" t="s">
        <v>6054</v>
      </c>
      <c r="C5744" t="str">
        <f>"460006199910224420"</f>
        <v>460006199910224420</v>
      </c>
      <c r="L5744">
        <v>7320</v>
      </c>
      <c r="M5744" t="s">
        <v>6054</v>
      </c>
      <c r="O5744" t="str">
        <f>"460006199910224420"</f>
        <v>460006199910224420</v>
      </c>
    </row>
    <row r="5745" customFormat="1" spans="1:15">
      <c r="A5745">
        <v>7322</v>
      </c>
      <c r="B5745" t="s">
        <v>6055</v>
      </c>
      <c r="C5745" t="str">
        <f>"460035199811050033"</f>
        <v>460035199811050033</v>
      </c>
      <c r="L5745">
        <v>7322</v>
      </c>
      <c r="M5745" t="s">
        <v>6055</v>
      </c>
      <c r="O5745" t="str">
        <f>"460035199811050033"</f>
        <v>460035199811050033</v>
      </c>
    </row>
    <row r="5746" customFormat="1" spans="1:15">
      <c r="A5746">
        <v>7324</v>
      </c>
      <c r="B5746" t="s">
        <v>6056</v>
      </c>
      <c r="C5746" t="str">
        <f>"460033200008140024"</f>
        <v>460033200008140024</v>
      </c>
      <c r="D5746" t="str">
        <f>"248030301105"</f>
        <v>248030301105</v>
      </c>
      <c r="L5746">
        <v>7324</v>
      </c>
      <c r="M5746" t="s">
        <v>6056</v>
      </c>
      <c r="N5746" t="str">
        <f>"248030301105"</f>
        <v>248030301105</v>
      </c>
      <c r="O5746" t="str">
        <f>"460033200008140024"</f>
        <v>460033200008140024</v>
      </c>
    </row>
    <row r="5747" customFormat="1" spans="1:15">
      <c r="A5747">
        <v>7325</v>
      </c>
      <c r="B5747" t="s">
        <v>6057</v>
      </c>
      <c r="C5747" t="str">
        <f>"431124199409304519"</f>
        <v>431124199409304519</v>
      </c>
      <c r="D5747" t="str">
        <f>"248030104407"</f>
        <v>248030104407</v>
      </c>
      <c r="L5747">
        <v>7325</v>
      </c>
      <c r="M5747" t="s">
        <v>6057</v>
      </c>
      <c r="N5747" t="str">
        <f>"248030104407"</f>
        <v>248030104407</v>
      </c>
      <c r="O5747" t="str">
        <f>"431124199409304519"</f>
        <v>431124199409304519</v>
      </c>
    </row>
    <row r="5748" customFormat="1" spans="1:15">
      <c r="A5748">
        <v>7326</v>
      </c>
      <c r="B5748" t="s">
        <v>6058</v>
      </c>
      <c r="C5748" t="str">
        <f>"360103199212083838"</f>
        <v>360103199212083838</v>
      </c>
      <c r="D5748" t="str">
        <f>"248030300204"</f>
        <v>248030300204</v>
      </c>
      <c r="L5748">
        <v>7326</v>
      </c>
      <c r="M5748" t="s">
        <v>6058</v>
      </c>
      <c r="N5748" t="str">
        <f>"248030300204"</f>
        <v>248030300204</v>
      </c>
      <c r="O5748" t="str">
        <f>"360103199212083838"</f>
        <v>360103199212083838</v>
      </c>
    </row>
    <row r="5749" customFormat="1" spans="1:15">
      <c r="A5749">
        <v>7328</v>
      </c>
      <c r="B5749" t="s">
        <v>6059</v>
      </c>
      <c r="C5749" t="str">
        <f>"140226199309295545"</f>
        <v>140226199309295545</v>
      </c>
      <c r="D5749" t="str">
        <f>"248030401406"</f>
        <v>248030401406</v>
      </c>
      <c r="L5749">
        <v>7328</v>
      </c>
      <c r="M5749" t="s">
        <v>6059</v>
      </c>
      <c r="N5749" t="str">
        <f>"248030401406"</f>
        <v>248030401406</v>
      </c>
      <c r="O5749" t="str">
        <f>"140226199309295545"</f>
        <v>140226199309295545</v>
      </c>
    </row>
    <row r="5750" customFormat="1" spans="1:15">
      <c r="A5750">
        <v>7331</v>
      </c>
      <c r="B5750" t="s">
        <v>146</v>
      </c>
      <c r="C5750" t="str">
        <f>"410803200001110072"</f>
        <v>410803200001110072</v>
      </c>
      <c r="D5750" t="str">
        <f>"248030401120"</f>
        <v>248030401120</v>
      </c>
      <c r="L5750">
        <v>7331</v>
      </c>
      <c r="M5750" t="s">
        <v>146</v>
      </c>
      <c r="N5750" t="str">
        <f>"248030401120"</f>
        <v>248030401120</v>
      </c>
      <c r="O5750" t="str">
        <f>"410803200001110072"</f>
        <v>410803200001110072</v>
      </c>
    </row>
    <row r="5751" customFormat="1" spans="1:15">
      <c r="A5751">
        <v>7333</v>
      </c>
      <c r="B5751" t="s">
        <v>6060</v>
      </c>
      <c r="C5751" t="str">
        <f>"469007200107197224"</f>
        <v>469007200107197224</v>
      </c>
      <c r="D5751" t="str">
        <f>"248030103524"</f>
        <v>248030103524</v>
      </c>
      <c r="L5751">
        <v>7333</v>
      </c>
      <c r="M5751" t="s">
        <v>6060</v>
      </c>
      <c r="N5751" t="str">
        <f>"248030103524"</f>
        <v>248030103524</v>
      </c>
      <c r="O5751" t="str">
        <f>"469007200107197224"</f>
        <v>469007200107197224</v>
      </c>
    </row>
    <row r="5752" customFormat="1" spans="1:15">
      <c r="A5752">
        <v>7336</v>
      </c>
      <c r="B5752" t="s">
        <v>6061</v>
      </c>
      <c r="C5752" t="str">
        <f>"460004199809135244"</f>
        <v>460004199809135244</v>
      </c>
      <c r="D5752" t="str">
        <f>"248030103024"</f>
        <v>248030103024</v>
      </c>
      <c r="L5752">
        <v>7336</v>
      </c>
      <c r="M5752" t="s">
        <v>6061</v>
      </c>
      <c r="N5752" t="str">
        <f>"248030103024"</f>
        <v>248030103024</v>
      </c>
      <c r="O5752" t="str">
        <f>"460004199809135244"</f>
        <v>460004199809135244</v>
      </c>
    </row>
    <row r="5753" customFormat="1" spans="1:15">
      <c r="A5753">
        <v>7340</v>
      </c>
      <c r="B5753" t="s">
        <v>6062</v>
      </c>
      <c r="C5753" t="str">
        <f>"460004198607250821"</f>
        <v>460004198607250821</v>
      </c>
      <c r="D5753" t="str">
        <f>"248030100223"</f>
        <v>248030100223</v>
      </c>
      <c r="L5753">
        <v>7340</v>
      </c>
      <c r="M5753" t="s">
        <v>6062</v>
      </c>
      <c r="N5753" t="str">
        <f>"248030100223"</f>
        <v>248030100223</v>
      </c>
      <c r="O5753" t="str">
        <f>"460004198607250821"</f>
        <v>460004198607250821</v>
      </c>
    </row>
    <row r="5754" customFormat="1" spans="1:15">
      <c r="A5754">
        <v>7341</v>
      </c>
      <c r="B5754" t="s">
        <v>6063</v>
      </c>
      <c r="C5754" t="str">
        <f>"150403200006093325"</f>
        <v>150403200006093325</v>
      </c>
      <c r="D5754" t="str">
        <f>"248030201406"</f>
        <v>248030201406</v>
      </c>
      <c r="L5754">
        <v>7341</v>
      </c>
      <c r="M5754" t="s">
        <v>6063</v>
      </c>
      <c r="N5754" t="str">
        <f>"248030201406"</f>
        <v>248030201406</v>
      </c>
      <c r="O5754" t="str">
        <f>"150403200006093325"</f>
        <v>150403200006093325</v>
      </c>
    </row>
    <row r="5755" customFormat="1" spans="1:15">
      <c r="A5755">
        <v>7343</v>
      </c>
      <c r="B5755" t="s">
        <v>6064</v>
      </c>
      <c r="C5755" t="str">
        <f>"460004199803304422"</f>
        <v>460004199803304422</v>
      </c>
      <c r="D5755" t="str">
        <f>"248030404025"</f>
        <v>248030404025</v>
      </c>
      <c r="L5755">
        <v>7343</v>
      </c>
      <c r="M5755" t="s">
        <v>6064</v>
      </c>
      <c r="N5755" t="str">
        <f>"248030404025"</f>
        <v>248030404025</v>
      </c>
      <c r="O5755" t="str">
        <f>"460004199803304422"</f>
        <v>460004199803304422</v>
      </c>
    </row>
    <row r="5756" customFormat="1" spans="1:15">
      <c r="A5756">
        <v>7344</v>
      </c>
      <c r="B5756" t="s">
        <v>6065</v>
      </c>
      <c r="C5756" t="str">
        <f>"460006199802082322"</f>
        <v>460006199802082322</v>
      </c>
      <c r="L5756">
        <v>7344</v>
      </c>
      <c r="M5756" t="s">
        <v>6065</v>
      </c>
      <c r="O5756" t="str">
        <f>"460006199802082322"</f>
        <v>460006199802082322</v>
      </c>
    </row>
    <row r="5757" customFormat="1" spans="1:15">
      <c r="A5757">
        <v>7345</v>
      </c>
      <c r="B5757" t="s">
        <v>3496</v>
      </c>
      <c r="C5757" t="str">
        <f>"460102200103183920"</f>
        <v>460102200103183920</v>
      </c>
      <c r="D5757" t="str">
        <f>"248030402028"</f>
        <v>248030402028</v>
      </c>
      <c r="L5757">
        <v>7345</v>
      </c>
      <c r="M5757" t="s">
        <v>3496</v>
      </c>
      <c r="N5757" t="str">
        <f>"248030402028"</f>
        <v>248030402028</v>
      </c>
      <c r="O5757" t="str">
        <f>"460102200103183920"</f>
        <v>460102200103183920</v>
      </c>
    </row>
    <row r="5758" customFormat="1" spans="1:15">
      <c r="A5758">
        <v>7346</v>
      </c>
      <c r="B5758" t="s">
        <v>6066</v>
      </c>
      <c r="C5758" t="str">
        <f>"513021199902116455"</f>
        <v>513021199902116455</v>
      </c>
      <c r="D5758" t="str">
        <f>"248030202025"</f>
        <v>248030202025</v>
      </c>
      <c r="L5758">
        <v>7346</v>
      </c>
      <c r="M5758" t="s">
        <v>6066</v>
      </c>
      <c r="N5758" t="str">
        <f>"248030202025"</f>
        <v>248030202025</v>
      </c>
      <c r="O5758" t="str">
        <f>"513021199902116455"</f>
        <v>513021199902116455</v>
      </c>
    </row>
    <row r="5759" customFormat="1" spans="1:15">
      <c r="A5759">
        <v>7347</v>
      </c>
      <c r="B5759" t="s">
        <v>6067</v>
      </c>
      <c r="C5759" t="str">
        <f>"460028200206072025"</f>
        <v>460028200206072025</v>
      </c>
      <c r="D5759" t="str">
        <f>"248030300822"</f>
        <v>248030300822</v>
      </c>
      <c r="L5759">
        <v>7347</v>
      </c>
      <c r="M5759" t="s">
        <v>6067</v>
      </c>
      <c r="N5759" t="str">
        <f>"248030300822"</f>
        <v>248030300822</v>
      </c>
      <c r="O5759" t="str">
        <f>"460028200206072025"</f>
        <v>460028200206072025</v>
      </c>
    </row>
    <row r="5760" customFormat="1" spans="1:15">
      <c r="A5760">
        <v>7348</v>
      </c>
      <c r="B5760" t="s">
        <v>6068</v>
      </c>
      <c r="C5760" t="str">
        <f>"46000719980511762X"</f>
        <v>46000719980511762X</v>
      </c>
      <c r="D5760" t="str">
        <f>"248030500930"</f>
        <v>248030500930</v>
      </c>
      <c r="L5760">
        <v>7348</v>
      </c>
      <c r="M5760" t="s">
        <v>6068</v>
      </c>
      <c r="N5760" t="str">
        <f>"248030500930"</f>
        <v>248030500930</v>
      </c>
      <c r="O5760" t="str">
        <f>"46000719980511762X"</f>
        <v>46000719980511762X</v>
      </c>
    </row>
    <row r="5761" customFormat="1" spans="1:15">
      <c r="A5761">
        <v>7349</v>
      </c>
      <c r="B5761" t="s">
        <v>3800</v>
      </c>
      <c r="C5761" t="str">
        <f>"460200199212162085"</f>
        <v>460200199212162085</v>
      </c>
      <c r="D5761" t="str">
        <f>"248030503024"</f>
        <v>248030503024</v>
      </c>
      <c r="L5761">
        <v>7349</v>
      </c>
      <c r="M5761" t="s">
        <v>3800</v>
      </c>
      <c r="N5761" t="str">
        <f>"248030503024"</f>
        <v>248030503024</v>
      </c>
      <c r="O5761" t="str">
        <f>"460200199212162085"</f>
        <v>460200199212162085</v>
      </c>
    </row>
    <row r="5762" customFormat="1" spans="1:15">
      <c r="A5762">
        <v>7351</v>
      </c>
      <c r="B5762" t="s">
        <v>6069</v>
      </c>
      <c r="C5762" t="str">
        <f>"513701200010225523"</f>
        <v>513701200010225523</v>
      </c>
      <c r="D5762" t="str">
        <f>"248030101028"</f>
        <v>248030101028</v>
      </c>
      <c r="L5762">
        <v>7351</v>
      </c>
      <c r="M5762" t="s">
        <v>6069</v>
      </c>
      <c r="N5762" t="str">
        <f>"248030101028"</f>
        <v>248030101028</v>
      </c>
      <c r="O5762" t="str">
        <f>"513701200010225523"</f>
        <v>513701200010225523</v>
      </c>
    </row>
    <row r="5763" customFormat="1" spans="1:15">
      <c r="A5763">
        <v>7353</v>
      </c>
      <c r="B5763" t="s">
        <v>6070</v>
      </c>
      <c r="C5763" t="str">
        <f>"460102199312152121"</f>
        <v>460102199312152121</v>
      </c>
      <c r="D5763" t="str">
        <f>"248030503318"</f>
        <v>248030503318</v>
      </c>
      <c r="L5763">
        <v>7353</v>
      </c>
      <c r="M5763" t="s">
        <v>6070</v>
      </c>
      <c r="N5763" t="str">
        <f>"248030503318"</f>
        <v>248030503318</v>
      </c>
      <c r="O5763" t="str">
        <f>"460102199312152121"</f>
        <v>460102199312152121</v>
      </c>
    </row>
    <row r="5764" customFormat="1" spans="1:15">
      <c r="A5764">
        <v>7357</v>
      </c>
      <c r="B5764" t="s">
        <v>6071</v>
      </c>
      <c r="C5764" t="str">
        <f>"450802199703273189"</f>
        <v>450802199703273189</v>
      </c>
      <c r="L5764">
        <v>7357</v>
      </c>
      <c r="M5764" t="s">
        <v>6071</v>
      </c>
      <c r="O5764" t="str">
        <f>"450802199703273189"</f>
        <v>450802199703273189</v>
      </c>
    </row>
    <row r="5765" customFormat="1" spans="1:15">
      <c r="A5765">
        <v>7358</v>
      </c>
      <c r="B5765" t="s">
        <v>4342</v>
      </c>
      <c r="C5765" t="str">
        <f>"46003319980602484X"</f>
        <v>46003319980602484X</v>
      </c>
      <c r="L5765">
        <v>7358</v>
      </c>
      <c r="M5765" t="s">
        <v>4342</v>
      </c>
      <c r="O5765" t="str">
        <f>"46003319980602484X"</f>
        <v>46003319980602484X</v>
      </c>
    </row>
    <row r="5766" customFormat="1" spans="1:15">
      <c r="A5766">
        <v>7359</v>
      </c>
      <c r="B5766" t="s">
        <v>4823</v>
      </c>
      <c r="C5766" t="str">
        <f>"46010319920929032X"</f>
        <v>46010319920929032X</v>
      </c>
      <c r="L5766">
        <v>7359</v>
      </c>
      <c r="M5766" t="s">
        <v>4823</v>
      </c>
      <c r="O5766" t="str">
        <f>"46010319920929032X"</f>
        <v>46010319920929032X</v>
      </c>
    </row>
    <row r="5767" customFormat="1" spans="1:15">
      <c r="A5767">
        <v>7360</v>
      </c>
      <c r="B5767" t="s">
        <v>6072</v>
      </c>
      <c r="C5767" t="str">
        <f>"46000419960319226X"</f>
        <v>46000419960319226X</v>
      </c>
      <c r="D5767" t="str">
        <f>"248030500720"</f>
        <v>248030500720</v>
      </c>
      <c r="L5767">
        <v>7360</v>
      </c>
      <c r="M5767" t="s">
        <v>6072</v>
      </c>
      <c r="N5767" t="str">
        <f>"248030500720"</f>
        <v>248030500720</v>
      </c>
      <c r="O5767" t="str">
        <f>"46000419960319226X"</f>
        <v>46000419960319226X</v>
      </c>
    </row>
    <row r="5768" customFormat="1" spans="1:15">
      <c r="A5768">
        <v>7361</v>
      </c>
      <c r="B5768" t="s">
        <v>6073</v>
      </c>
      <c r="C5768" t="str">
        <f>"131125200102110147"</f>
        <v>131125200102110147</v>
      </c>
      <c r="D5768" t="str">
        <f>"248030301514"</f>
        <v>248030301514</v>
      </c>
      <c r="L5768">
        <v>7361</v>
      </c>
      <c r="M5768" t="s">
        <v>6073</v>
      </c>
      <c r="N5768" t="str">
        <f>"248030301514"</f>
        <v>248030301514</v>
      </c>
      <c r="O5768" t="str">
        <f>"131125200102110147"</f>
        <v>131125200102110147</v>
      </c>
    </row>
    <row r="5769" customFormat="1" spans="1:15">
      <c r="A5769">
        <v>7362</v>
      </c>
      <c r="B5769" t="s">
        <v>6074</v>
      </c>
      <c r="C5769" t="str">
        <f>"141122199303030060"</f>
        <v>141122199303030060</v>
      </c>
      <c r="L5769">
        <v>7362</v>
      </c>
      <c r="M5769" t="s">
        <v>6074</v>
      </c>
      <c r="O5769" t="str">
        <f>"141122199303030060"</f>
        <v>141122199303030060</v>
      </c>
    </row>
    <row r="5770" customFormat="1" spans="1:15">
      <c r="A5770">
        <v>7363</v>
      </c>
      <c r="B5770" t="s">
        <v>6075</v>
      </c>
      <c r="C5770" t="str">
        <f>"440921198807020440"</f>
        <v>440921198807020440</v>
      </c>
      <c r="L5770">
        <v>7363</v>
      </c>
      <c r="M5770" t="s">
        <v>6075</v>
      </c>
      <c r="O5770" t="str">
        <f>"440921198807020440"</f>
        <v>440921198807020440</v>
      </c>
    </row>
    <row r="5771" customFormat="1" spans="1:15">
      <c r="A5771">
        <v>7364</v>
      </c>
      <c r="B5771" t="s">
        <v>6076</v>
      </c>
      <c r="C5771" t="str">
        <f>"220204199907220625"</f>
        <v>220204199907220625</v>
      </c>
      <c r="D5771" t="str">
        <f>"248030502115"</f>
        <v>248030502115</v>
      </c>
      <c r="L5771">
        <v>7364</v>
      </c>
      <c r="M5771" t="s">
        <v>6076</v>
      </c>
      <c r="N5771" t="str">
        <f>"248030502115"</f>
        <v>248030502115</v>
      </c>
      <c r="O5771" t="str">
        <f>"220204199907220625"</f>
        <v>220204199907220625</v>
      </c>
    </row>
    <row r="5772" customFormat="1" spans="1:15">
      <c r="A5772">
        <v>7365</v>
      </c>
      <c r="B5772" t="s">
        <v>6077</v>
      </c>
      <c r="C5772" t="str">
        <f>"360781199911092022"</f>
        <v>360781199911092022</v>
      </c>
      <c r="D5772" t="str">
        <f>"248030300804"</f>
        <v>248030300804</v>
      </c>
      <c r="L5772">
        <v>7365</v>
      </c>
      <c r="M5772" t="s">
        <v>6077</v>
      </c>
      <c r="N5772" t="str">
        <f>"248030300804"</f>
        <v>248030300804</v>
      </c>
      <c r="O5772" t="str">
        <f>"360781199911092022"</f>
        <v>360781199911092022</v>
      </c>
    </row>
    <row r="5773" customFormat="1" spans="1:15">
      <c r="A5773">
        <v>7366</v>
      </c>
      <c r="B5773" t="s">
        <v>6078</v>
      </c>
      <c r="C5773" t="str">
        <f>"440881200108232760"</f>
        <v>440881200108232760</v>
      </c>
      <c r="D5773" t="str">
        <f>"248030200212"</f>
        <v>248030200212</v>
      </c>
      <c r="L5773">
        <v>7366</v>
      </c>
      <c r="M5773" t="s">
        <v>6078</v>
      </c>
      <c r="N5773" t="str">
        <f>"248030200212"</f>
        <v>248030200212</v>
      </c>
      <c r="O5773" t="str">
        <f>"440881200108232760"</f>
        <v>440881200108232760</v>
      </c>
    </row>
    <row r="5774" customFormat="1" spans="1:15">
      <c r="A5774">
        <v>7367</v>
      </c>
      <c r="B5774" t="s">
        <v>6079</v>
      </c>
      <c r="C5774" t="str">
        <f>"469023199905272916"</f>
        <v>469023199905272916</v>
      </c>
      <c r="D5774" t="str">
        <f>"248030302222"</f>
        <v>248030302222</v>
      </c>
      <c r="L5774">
        <v>7367</v>
      </c>
      <c r="M5774" t="s">
        <v>6079</v>
      </c>
      <c r="N5774" t="str">
        <f>"248030302222"</f>
        <v>248030302222</v>
      </c>
      <c r="O5774" t="str">
        <f>"469023199905272916"</f>
        <v>469023199905272916</v>
      </c>
    </row>
    <row r="5775" customFormat="1" spans="1:15">
      <c r="A5775">
        <v>7369</v>
      </c>
      <c r="B5775" t="s">
        <v>6080</v>
      </c>
      <c r="C5775" t="str">
        <f>"460004200112263225"</f>
        <v>460004200112263225</v>
      </c>
      <c r="D5775" t="str">
        <f>"248030401929"</f>
        <v>248030401929</v>
      </c>
      <c r="L5775">
        <v>7369</v>
      </c>
      <c r="M5775" t="s">
        <v>6080</v>
      </c>
      <c r="N5775" t="str">
        <f>"248030401929"</f>
        <v>248030401929</v>
      </c>
      <c r="O5775" t="str">
        <f>"460004200112263225"</f>
        <v>460004200112263225</v>
      </c>
    </row>
    <row r="5776" customFormat="1" spans="1:15">
      <c r="A5776">
        <v>7370</v>
      </c>
      <c r="B5776" t="s">
        <v>6081</v>
      </c>
      <c r="C5776" t="str">
        <f>"460034199901140044"</f>
        <v>460034199901140044</v>
      </c>
      <c r="D5776" t="str">
        <f>"248030401902"</f>
        <v>248030401902</v>
      </c>
      <c r="L5776">
        <v>7370</v>
      </c>
      <c r="M5776" t="s">
        <v>6081</v>
      </c>
      <c r="N5776" t="str">
        <f>"248030401902"</f>
        <v>248030401902</v>
      </c>
      <c r="O5776" t="str">
        <f>"460034199901140044"</f>
        <v>460034199901140044</v>
      </c>
    </row>
    <row r="5777" customFormat="1" spans="1:15">
      <c r="A5777">
        <v>7371</v>
      </c>
      <c r="B5777" t="s">
        <v>6082</v>
      </c>
      <c r="C5777" t="str">
        <f>"460102200203292120"</f>
        <v>460102200203292120</v>
      </c>
      <c r="L5777">
        <v>7371</v>
      </c>
      <c r="M5777" t="s">
        <v>6082</v>
      </c>
      <c r="O5777" t="str">
        <f>"460102200203292120"</f>
        <v>460102200203292120</v>
      </c>
    </row>
    <row r="5778" customFormat="1" spans="1:15">
      <c r="A5778">
        <v>7373</v>
      </c>
      <c r="B5778" t="s">
        <v>6083</v>
      </c>
      <c r="C5778" t="str">
        <f>"460003200003211868"</f>
        <v>460003200003211868</v>
      </c>
      <c r="D5778" t="str">
        <f>"248030302525"</f>
        <v>248030302525</v>
      </c>
      <c r="L5778">
        <v>7373</v>
      </c>
      <c r="M5778" t="s">
        <v>6083</v>
      </c>
      <c r="N5778" t="str">
        <f>"248030302525"</f>
        <v>248030302525</v>
      </c>
      <c r="O5778" t="str">
        <f>"460003200003211868"</f>
        <v>460003200003211868</v>
      </c>
    </row>
    <row r="5779" customFormat="1" spans="1:15">
      <c r="A5779">
        <v>7374</v>
      </c>
      <c r="B5779" t="s">
        <v>6084</v>
      </c>
      <c r="C5779" t="str">
        <f>"46000419911109644X"</f>
        <v>46000419911109644X</v>
      </c>
      <c r="D5779" t="str">
        <f>"248030102502"</f>
        <v>248030102502</v>
      </c>
      <c r="L5779">
        <v>7374</v>
      </c>
      <c r="M5779" t="s">
        <v>6084</v>
      </c>
      <c r="N5779" t="str">
        <f>"248030102502"</f>
        <v>248030102502</v>
      </c>
      <c r="O5779" t="str">
        <f>"46000419911109644X"</f>
        <v>46000419911109644X</v>
      </c>
    </row>
    <row r="5780" customFormat="1" spans="1:15">
      <c r="A5780">
        <v>7375</v>
      </c>
      <c r="B5780" t="s">
        <v>6085</v>
      </c>
      <c r="C5780" t="str">
        <f>"460003200108056614"</f>
        <v>460003200108056614</v>
      </c>
      <c r="D5780" t="str">
        <f>"248030201409"</f>
        <v>248030201409</v>
      </c>
      <c r="L5780">
        <v>7375</v>
      </c>
      <c r="M5780" t="s">
        <v>6085</v>
      </c>
      <c r="N5780" t="str">
        <f>"248030201409"</f>
        <v>248030201409</v>
      </c>
      <c r="O5780" t="str">
        <f>"460003200108056614"</f>
        <v>460003200108056614</v>
      </c>
    </row>
    <row r="5781" customFormat="1" spans="1:15">
      <c r="A5781">
        <v>7376</v>
      </c>
      <c r="B5781" t="s">
        <v>6086</v>
      </c>
      <c r="C5781" t="str">
        <f>"522322200206220821"</f>
        <v>522322200206220821</v>
      </c>
      <c r="D5781" t="str">
        <f>"248030501615"</f>
        <v>248030501615</v>
      </c>
      <c r="L5781">
        <v>7376</v>
      </c>
      <c r="M5781" t="s">
        <v>6086</v>
      </c>
      <c r="N5781" t="str">
        <f>"248030501615"</f>
        <v>248030501615</v>
      </c>
      <c r="O5781" t="str">
        <f>"522322200206220821"</f>
        <v>522322200206220821</v>
      </c>
    </row>
    <row r="5782" customFormat="1" spans="1:15">
      <c r="A5782">
        <v>7377</v>
      </c>
      <c r="B5782" t="s">
        <v>6087</v>
      </c>
      <c r="C5782" t="str">
        <f>"460102200112231525"</f>
        <v>460102200112231525</v>
      </c>
      <c r="D5782" t="str">
        <f>"248030403126"</f>
        <v>248030403126</v>
      </c>
      <c r="L5782">
        <v>7377</v>
      </c>
      <c r="M5782" t="s">
        <v>6087</v>
      </c>
      <c r="N5782" t="str">
        <f>"248030403126"</f>
        <v>248030403126</v>
      </c>
      <c r="O5782" t="str">
        <f>"460102200112231525"</f>
        <v>460102200112231525</v>
      </c>
    </row>
    <row r="5783" customFormat="1" spans="1:15">
      <c r="A5783">
        <v>7378</v>
      </c>
      <c r="B5783" t="s">
        <v>6088</v>
      </c>
      <c r="C5783" t="str">
        <f>"460006199901120427"</f>
        <v>460006199901120427</v>
      </c>
      <c r="D5783" t="str">
        <f>"248030403713"</f>
        <v>248030403713</v>
      </c>
      <c r="L5783">
        <v>7378</v>
      </c>
      <c r="M5783" t="s">
        <v>6088</v>
      </c>
      <c r="N5783" t="str">
        <f>"248030403713"</f>
        <v>248030403713</v>
      </c>
      <c r="O5783" t="str">
        <f>"460006199901120427"</f>
        <v>460006199901120427</v>
      </c>
    </row>
    <row r="5784" customFormat="1" spans="1:15">
      <c r="A5784">
        <v>7379</v>
      </c>
      <c r="B5784" t="s">
        <v>6089</v>
      </c>
      <c r="C5784" t="str">
        <f>"46902120020107122X"</f>
        <v>46902120020107122X</v>
      </c>
      <c r="D5784" t="str">
        <f>"248030403014"</f>
        <v>248030403014</v>
      </c>
      <c r="L5784">
        <v>7379</v>
      </c>
      <c r="M5784" t="s">
        <v>6089</v>
      </c>
      <c r="N5784" t="str">
        <f>"248030403014"</f>
        <v>248030403014</v>
      </c>
      <c r="O5784" t="str">
        <f>"46902120020107122X"</f>
        <v>46902120020107122X</v>
      </c>
    </row>
    <row r="5785" customFormat="1" spans="1:15">
      <c r="A5785">
        <v>7380</v>
      </c>
      <c r="B5785" t="s">
        <v>6090</v>
      </c>
      <c r="C5785" t="str">
        <f>"460028199911081247"</f>
        <v>460028199911081247</v>
      </c>
      <c r="D5785" t="str">
        <f>"248030103208"</f>
        <v>248030103208</v>
      </c>
      <c r="L5785">
        <v>7380</v>
      </c>
      <c r="M5785" t="s">
        <v>6090</v>
      </c>
      <c r="N5785" t="str">
        <f>"248030103208"</f>
        <v>248030103208</v>
      </c>
      <c r="O5785" t="str">
        <f>"460028199911081247"</f>
        <v>460028199911081247</v>
      </c>
    </row>
    <row r="5786" customFormat="1" spans="1:15">
      <c r="A5786">
        <v>7381</v>
      </c>
      <c r="B5786" t="s">
        <v>6091</v>
      </c>
      <c r="C5786" t="str">
        <f>"460003199908016025"</f>
        <v>460003199908016025</v>
      </c>
      <c r="D5786" t="str">
        <f>"248030404107"</f>
        <v>248030404107</v>
      </c>
      <c r="L5786">
        <v>7381</v>
      </c>
      <c r="M5786" t="s">
        <v>6091</v>
      </c>
      <c r="N5786" t="str">
        <f>"248030404107"</f>
        <v>248030404107</v>
      </c>
      <c r="O5786" t="str">
        <f>"460003199908016025"</f>
        <v>460003199908016025</v>
      </c>
    </row>
    <row r="5787" customFormat="1" spans="1:15">
      <c r="A5787">
        <v>7382</v>
      </c>
      <c r="B5787" t="s">
        <v>6092</v>
      </c>
      <c r="C5787" t="str">
        <f>"46010319970406002X"</f>
        <v>46010319970406002X</v>
      </c>
      <c r="D5787" t="str">
        <f>"248030500505"</f>
        <v>248030500505</v>
      </c>
      <c r="L5787">
        <v>7382</v>
      </c>
      <c r="M5787" t="s">
        <v>6092</v>
      </c>
      <c r="N5787" t="str">
        <f>"248030500505"</f>
        <v>248030500505</v>
      </c>
      <c r="O5787" t="str">
        <f>"46010319970406002X"</f>
        <v>46010319970406002X</v>
      </c>
    </row>
    <row r="5788" customFormat="1" spans="1:15">
      <c r="A5788">
        <v>7383</v>
      </c>
      <c r="B5788" t="s">
        <v>6093</v>
      </c>
      <c r="C5788" t="str">
        <f>"46002819971120322X"</f>
        <v>46002819971120322X</v>
      </c>
      <c r="D5788" t="str">
        <f>"248030503715"</f>
        <v>248030503715</v>
      </c>
      <c r="L5788">
        <v>7383</v>
      </c>
      <c r="M5788" t="s">
        <v>6093</v>
      </c>
      <c r="N5788" t="str">
        <f>"248030503715"</f>
        <v>248030503715</v>
      </c>
      <c r="O5788" t="str">
        <f>"46002819971120322X"</f>
        <v>46002819971120322X</v>
      </c>
    </row>
    <row r="5789" customFormat="1" spans="1:15">
      <c r="A5789">
        <v>7384</v>
      </c>
      <c r="B5789" t="s">
        <v>6094</v>
      </c>
      <c r="C5789" t="str">
        <f>"460007199607247220"</f>
        <v>460007199607247220</v>
      </c>
      <c r="D5789" t="str">
        <f>"248030200326"</f>
        <v>248030200326</v>
      </c>
      <c r="L5789">
        <v>7384</v>
      </c>
      <c r="M5789" t="s">
        <v>6094</v>
      </c>
      <c r="N5789" t="str">
        <f>"248030200326"</f>
        <v>248030200326</v>
      </c>
      <c r="O5789" t="str">
        <f>"460007199607247220"</f>
        <v>460007199607247220</v>
      </c>
    </row>
    <row r="5790" customFormat="1" spans="1:15">
      <c r="A5790">
        <v>7385</v>
      </c>
      <c r="B5790" t="s">
        <v>6095</v>
      </c>
      <c r="C5790" t="str">
        <f>"460035199208192125"</f>
        <v>460035199208192125</v>
      </c>
      <c r="D5790" t="str">
        <f>"248030101819"</f>
        <v>248030101819</v>
      </c>
      <c r="L5790">
        <v>7385</v>
      </c>
      <c r="M5790" t="s">
        <v>6095</v>
      </c>
      <c r="N5790" t="str">
        <f>"248030101819"</f>
        <v>248030101819</v>
      </c>
      <c r="O5790" t="str">
        <f>"460035199208192125"</f>
        <v>460035199208192125</v>
      </c>
    </row>
    <row r="5791" customFormat="1" spans="1:15">
      <c r="A5791">
        <v>7387</v>
      </c>
      <c r="B5791" t="s">
        <v>6096</v>
      </c>
      <c r="C5791" t="str">
        <f>"460031200008200020"</f>
        <v>460031200008200020</v>
      </c>
      <c r="D5791" t="str">
        <f>"248030302406"</f>
        <v>248030302406</v>
      </c>
      <c r="L5791">
        <v>7387</v>
      </c>
      <c r="M5791" t="s">
        <v>6096</v>
      </c>
      <c r="N5791" t="str">
        <f>"248030302406"</f>
        <v>248030302406</v>
      </c>
      <c r="O5791" t="str">
        <f>"460031200008200020"</f>
        <v>460031200008200020</v>
      </c>
    </row>
    <row r="5792" customFormat="1" spans="1:15">
      <c r="A5792">
        <v>7388</v>
      </c>
      <c r="B5792" t="s">
        <v>6097</v>
      </c>
      <c r="C5792" t="str">
        <f>"440825199906063037"</f>
        <v>440825199906063037</v>
      </c>
      <c r="D5792" t="str">
        <f>"248030201412"</f>
        <v>248030201412</v>
      </c>
      <c r="L5792">
        <v>7388</v>
      </c>
      <c r="M5792" t="s">
        <v>6097</v>
      </c>
      <c r="N5792" t="str">
        <f>"248030201412"</f>
        <v>248030201412</v>
      </c>
      <c r="O5792" t="str">
        <f>"440825199906063037"</f>
        <v>440825199906063037</v>
      </c>
    </row>
    <row r="5793" customFormat="1" spans="1:15">
      <c r="A5793">
        <v>7389</v>
      </c>
      <c r="B5793" t="s">
        <v>6098</v>
      </c>
      <c r="C5793" t="str">
        <f>"469025200112285424"</f>
        <v>469025200112285424</v>
      </c>
      <c r="D5793" t="str">
        <f>"248030302610"</f>
        <v>248030302610</v>
      </c>
      <c r="L5793">
        <v>7389</v>
      </c>
      <c r="M5793" t="s">
        <v>6098</v>
      </c>
      <c r="N5793" t="str">
        <f>"248030302610"</f>
        <v>248030302610</v>
      </c>
      <c r="O5793" t="str">
        <f>"469025200112285424"</f>
        <v>469025200112285424</v>
      </c>
    </row>
    <row r="5794" customFormat="1" spans="1:15">
      <c r="A5794">
        <v>7390</v>
      </c>
      <c r="B5794" t="s">
        <v>6099</v>
      </c>
      <c r="C5794" t="str">
        <f>"411302200109100164"</f>
        <v>411302200109100164</v>
      </c>
      <c r="D5794" t="str">
        <f>"248030202612"</f>
        <v>248030202612</v>
      </c>
      <c r="L5794">
        <v>7390</v>
      </c>
      <c r="M5794" t="s">
        <v>6099</v>
      </c>
      <c r="N5794" t="str">
        <f>"248030202612"</f>
        <v>248030202612</v>
      </c>
      <c r="O5794" t="str">
        <f>"411302200109100164"</f>
        <v>411302200109100164</v>
      </c>
    </row>
    <row r="5795" customFormat="1" spans="1:15">
      <c r="A5795">
        <v>7391</v>
      </c>
      <c r="B5795" t="s">
        <v>6100</v>
      </c>
      <c r="C5795" t="str">
        <f>"460027200012264727"</f>
        <v>460027200012264727</v>
      </c>
      <c r="D5795" t="str">
        <f>"248030302425"</f>
        <v>248030302425</v>
      </c>
      <c r="L5795">
        <v>7391</v>
      </c>
      <c r="M5795" t="s">
        <v>6100</v>
      </c>
      <c r="N5795" t="str">
        <f>"248030302425"</f>
        <v>248030302425</v>
      </c>
      <c r="O5795" t="str">
        <f>"460027200012264727"</f>
        <v>460027200012264727</v>
      </c>
    </row>
    <row r="5796" customFormat="1" spans="1:15">
      <c r="A5796">
        <v>7392</v>
      </c>
      <c r="B5796" t="s">
        <v>6101</v>
      </c>
      <c r="C5796" t="str">
        <f>"362330199708272087"</f>
        <v>362330199708272087</v>
      </c>
      <c r="D5796" t="str">
        <f>"248030400812"</f>
        <v>248030400812</v>
      </c>
      <c r="L5796">
        <v>7392</v>
      </c>
      <c r="M5796" t="s">
        <v>6101</v>
      </c>
      <c r="N5796" t="str">
        <f>"248030400812"</f>
        <v>248030400812</v>
      </c>
      <c r="O5796" t="str">
        <f>"362330199708272087"</f>
        <v>362330199708272087</v>
      </c>
    </row>
    <row r="5797" customFormat="1" spans="1:15">
      <c r="A5797">
        <v>7394</v>
      </c>
      <c r="B5797" t="s">
        <v>6102</v>
      </c>
      <c r="C5797" t="str">
        <f>"469003200003110627"</f>
        <v>469003200003110627</v>
      </c>
      <c r="L5797">
        <v>7394</v>
      </c>
      <c r="M5797" t="s">
        <v>6102</v>
      </c>
      <c r="O5797" t="str">
        <f>"469003200003110627"</f>
        <v>469003200003110627</v>
      </c>
    </row>
    <row r="5798" customFormat="1" spans="1:15">
      <c r="A5798">
        <v>7395</v>
      </c>
      <c r="B5798" t="s">
        <v>6103</v>
      </c>
      <c r="C5798" t="str">
        <f>"460006200206110628"</f>
        <v>460006200206110628</v>
      </c>
      <c r="D5798" t="str">
        <f>"248030300429"</f>
        <v>248030300429</v>
      </c>
      <c r="L5798">
        <v>7395</v>
      </c>
      <c r="M5798" t="s">
        <v>6103</v>
      </c>
      <c r="N5798" t="str">
        <f>"248030300429"</f>
        <v>248030300429</v>
      </c>
      <c r="O5798" t="str">
        <f>"460006200206110628"</f>
        <v>460006200206110628</v>
      </c>
    </row>
    <row r="5799" customFormat="1" spans="1:15">
      <c r="A5799">
        <v>7398</v>
      </c>
      <c r="B5799" t="s">
        <v>6104</v>
      </c>
      <c r="C5799" t="str">
        <f>"460007199307084984"</f>
        <v>460007199307084984</v>
      </c>
      <c r="D5799" t="str">
        <f>"248030402205"</f>
        <v>248030402205</v>
      </c>
      <c r="L5799">
        <v>7398</v>
      </c>
      <c r="M5799" t="s">
        <v>6104</v>
      </c>
      <c r="N5799" t="str">
        <f>"248030402205"</f>
        <v>248030402205</v>
      </c>
      <c r="O5799" t="str">
        <f>"460007199307084984"</f>
        <v>460007199307084984</v>
      </c>
    </row>
    <row r="5800" customFormat="1" spans="1:15">
      <c r="A5800">
        <v>7399</v>
      </c>
      <c r="B5800" t="s">
        <v>6105</v>
      </c>
      <c r="C5800" t="str">
        <f>"460003199505230211"</f>
        <v>460003199505230211</v>
      </c>
      <c r="L5800">
        <v>7399</v>
      </c>
      <c r="M5800" t="s">
        <v>6105</v>
      </c>
      <c r="O5800" t="str">
        <f>"460003199505230211"</f>
        <v>460003199505230211</v>
      </c>
    </row>
    <row r="5801" customFormat="1" spans="1:15">
      <c r="A5801">
        <v>7400</v>
      </c>
      <c r="B5801" t="s">
        <v>6106</v>
      </c>
      <c r="C5801" t="str">
        <f>"460028199312070028"</f>
        <v>460028199312070028</v>
      </c>
      <c r="D5801" t="str">
        <f>"248030403017"</f>
        <v>248030403017</v>
      </c>
      <c r="L5801">
        <v>7400</v>
      </c>
      <c r="M5801" t="s">
        <v>6106</v>
      </c>
      <c r="N5801" t="str">
        <f>"248030403017"</f>
        <v>248030403017</v>
      </c>
      <c r="O5801" t="str">
        <f>"460028199312070028"</f>
        <v>460028199312070028</v>
      </c>
    </row>
    <row r="5802" customFormat="1" spans="1:15">
      <c r="A5802">
        <v>7401</v>
      </c>
      <c r="B5802" t="s">
        <v>6107</v>
      </c>
      <c r="C5802" t="str">
        <f>"460107200204102327"</f>
        <v>460107200204102327</v>
      </c>
      <c r="D5802" t="str">
        <f>"248030501722"</f>
        <v>248030501722</v>
      </c>
      <c r="L5802">
        <v>7401</v>
      </c>
      <c r="M5802" t="s">
        <v>6107</v>
      </c>
      <c r="N5802" t="str">
        <f>"248030501722"</f>
        <v>248030501722</v>
      </c>
      <c r="O5802" t="str">
        <f>"460107200204102327"</f>
        <v>460107200204102327</v>
      </c>
    </row>
    <row r="5803" customFormat="1" spans="1:15">
      <c r="A5803">
        <v>7402</v>
      </c>
      <c r="B5803" t="s">
        <v>3890</v>
      </c>
      <c r="C5803" t="str">
        <f>"460006199906082327"</f>
        <v>460006199906082327</v>
      </c>
      <c r="D5803" t="str">
        <f>"248030501330"</f>
        <v>248030501330</v>
      </c>
      <c r="L5803">
        <v>7402</v>
      </c>
      <c r="M5803" t="s">
        <v>3890</v>
      </c>
      <c r="N5803" t="str">
        <f>"248030501330"</f>
        <v>248030501330</v>
      </c>
      <c r="O5803" t="str">
        <f>"460006199906082327"</f>
        <v>460006199906082327</v>
      </c>
    </row>
    <row r="5804" customFormat="1" spans="1:15">
      <c r="A5804">
        <v>7404</v>
      </c>
      <c r="B5804" t="s">
        <v>6108</v>
      </c>
      <c r="C5804" t="str">
        <f>"460027200007297321"</f>
        <v>460027200007297321</v>
      </c>
      <c r="L5804">
        <v>7404</v>
      </c>
      <c r="M5804" t="s">
        <v>6108</v>
      </c>
      <c r="O5804" t="str">
        <f>"460027200007297321"</f>
        <v>460027200007297321</v>
      </c>
    </row>
    <row r="5805" customFormat="1" spans="1:15">
      <c r="A5805">
        <v>7405</v>
      </c>
      <c r="B5805" t="s">
        <v>6109</v>
      </c>
      <c r="C5805" t="str">
        <f>"440883200105021928"</f>
        <v>440883200105021928</v>
      </c>
      <c r="D5805" t="str">
        <f>"248030101609"</f>
        <v>248030101609</v>
      </c>
      <c r="L5805">
        <v>7405</v>
      </c>
      <c r="M5805" t="s">
        <v>6109</v>
      </c>
      <c r="N5805" t="str">
        <f>"248030101609"</f>
        <v>248030101609</v>
      </c>
      <c r="O5805" t="str">
        <f>"440883200105021928"</f>
        <v>440883200105021928</v>
      </c>
    </row>
    <row r="5806" customFormat="1" spans="1:15">
      <c r="A5806">
        <v>7406</v>
      </c>
      <c r="B5806" t="s">
        <v>6110</v>
      </c>
      <c r="C5806" t="str">
        <f>"460007200208057628"</f>
        <v>460007200208057628</v>
      </c>
      <c r="D5806" t="str">
        <f>"248030104719"</f>
        <v>248030104719</v>
      </c>
      <c r="L5806">
        <v>7406</v>
      </c>
      <c r="M5806" t="s">
        <v>6110</v>
      </c>
      <c r="N5806" t="str">
        <f>"248030104719"</f>
        <v>248030104719</v>
      </c>
      <c r="O5806" t="str">
        <f>"460007200208057628"</f>
        <v>460007200208057628</v>
      </c>
    </row>
    <row r="5807" customFormat="1" spans="1:15">
      <c r="A5807">
        <v>7407</v>
      </c>
      <c r="B5807" t="s">
        <v>6111</v>
      </c>
      <c r="C5807" t="str">
        <f>"469021200101233623"</f>
        <v>469021200101233623</v>
      </c>
      <c r="D5807" t="str">
        <f>"248030402703"</f>
        <v>248030402703</v>
      </c>
      <c r="L5807">
        <v>7407</v>
      </c>
      <c r="M5807" t="s">
        <v>6111</v>
      </c>
      <c r="N5807" t="str">
        <f>"248030402703"</f>
        <v>248030402703</v>
      </c>
      <c r="O5807" t="str">
        <f>"469021200101233623"</f>
        <v>469021200101233623</v>
      </c>
    </row>
    <row r="5808" customFormat="1" spans="1:15">
      <c r="A5808">
        <v>7408</v>
      </c>
      <c r="B5808" t="s">
        <v>6112</v>
      </c>
      <c r="C5808" t="str">
        <f>"460102200103092148"</f>
        <v>460102200103092148</v>
      </c>
      <c r="D5808" t="str">
        <f>"248030403907"</f>
        <v>248030403907</v>
      </c>
      <c r="L5808">
        <v>7408</v>
      </c>
      <c r="M5808" t="s">
        <v>6112</v>
      </c>
      <c r="N5808" t="str">
        <f>"248030403907"</f>
        <v>248030403907</v>
      </c>
      <c r="O5808" t="str">
        <f>"460102200103092148"</f>
        <v>460102200103092148</v>
      </c>
    </row>
    <row r="5809" customFormat="1" spans="1:15">
      <c r="A5809">
        <v>7409</v>
      </c>
      <c r="B5809" t="s">
        <v>6113</v>
      </c>
      <c r="C5809" t="str">
        <f>"460033200204223222"</f>
        <v>460033200204223222</v>
      </c>
      <c r="D5809" t="str">
        <f>"248030302219"</f>
        <v>248030302219</v>
      </c>
      <c r="L5809">
        <v>7409</v>
      </c>
      <c r="M5809" t="s">
        <v>6113</v>
      </c>
      <c r="N5809" t="str">
        <f>"248030302219"</f>
        <v>248030302219</v>
      </c>
      <c r="O5809" t="str">
        <f>"460033200204223222"</f>
        <v>460033200204223222</v>
      </c>
    </row>
    <row r="5810" customFormat="1" spans="1:15">
      <c r="A5810">
        <v>7410</v>
      </c>
      <c r="B5810" t="s">
        <v>6114</v>
      </c>
      <c r="C5810" t="str">
        <f>"460005199306053921"</f>
        <v>460005199306053921</v>
      </c>
      <c r="D5810" t="str">
        <f>"248030403405"</f>
        <v>248030403405</v>
      </c>
      <c r="L5810">
        <v>7410</v>
      </c>
      <c r="M5810" t="s">
        <v>6114</v>
      </c>
      <c r="N5810" t="str">
        <f>"248030403405"</f>
        <v>248030403405</v>
      </c>
      <c r="O5810" t="str">
        <f>"460005199306053921"</f>
        <v>460005199306053921</v>
      </c>
    </row>
    <row r="5811" customFormat="1" spans="1:15">
      <c r="A5811">
        <v>7411</v>
      </c>
      <c r="B5811" t="s">
        <v>4360</v>
      </c>
      <c r="C5811" t="str">
        <f>"46902320000331414X"</f>
        <v>46902320000331414X</v>
      </c>
      <c r="D5811" t="str">
        <f>"248030301216"</f>
        <v>248030301216</v>
      </c>
      <c r="L5811">
        <v>7411</v>
      </c>
      <c r="M5811" t="s">
        <v>4360</v>
      </c>
      <c r="N5811" t="str">
        <f>"248030301216"</f>
        <v>248030301216</v>
      </c>
      <c r="O5811" t="str">
        <f>"46902320000331414X"</f>
        <v>46902320000331414X</v>
      </c>
    </row>
    <row r="5812" customFormat="1" spans="1:15">
      <c r="A5812">
        <v>7412</v>
      </c>
      <c r="B5812" t="s">
        <v>6115</v>
      </c>
      <c r="C5812" t="str">
        <f>"460102200004066024"</f>
        <v>460102200004066024</v>
      </c>
      <c r="D5812" t="str">
        <f>"248030102304"</f>
        <v>248030102304</v>
      </c>
      <c r="L5812">
        <v>7412</v>
      </c>
      <c r="M5812" t="s">
        <v>6115</v>
      </c>
      <c r="N5812" t="str">
        <f>"248030102304"</f>
        <v>248030102304</v>
      </c>
      <c r="O5812" t="str">
        <f>"460102200004066024"</f>
        <v>460102200004066024</v>
      </c>
    </row>
    <row r="5813" customFormat="1" spans="1:15">
      <c r="A5813">
        <v>7413</v>
      </c>
      <c r="B5813" t="s">
        <v>6116</v>
      </c>
      <c r="C5813" t="str">
        <f>"340825199309073524"</f>
        <v>340825199309073524</v>
      </c>
      <c r="D5813" t="str">
        <f>"248030502515"</f>
        <v>248030502515</v>
      </c>
      <c r="L5813">
        <v>7413</v>
      </c>
      <c r="M5813" t="s">
        <v>6116</v>
      </c>
      <c r="N5813" t="str">
        <f>"248030502515"</f>
        <v>248030502515</v>
      </c>
      <c r="O5813" t="str">
        <f>"340825199309073524"</f>
        <v>340825199309073524</v>
      </c>
    </row>
    <row r="5814" customFormat="1" spans="1:15">
      <c r="A5814">
        <v>7414</v>
      </c>
      <c r="B5814" t="s">
        <v>6117</v>
      </c>
      <c r="C5814" t="str">
        <f>"450702199902054215"</f>
        <v>450702199902054215</v>
      </c>
      <c r="D5814" t="str">
        <f>"248030300912"</f>
        <v>248030300912</v>
      </c>
      <c r="L5814">
        <v>7414</v>
      </c>
      <c r="M5814" t="s">
        <v>6117</v>
      </c>
      <c r="N5814" t="str">
        <f>"248030300912"</f>
        <v>248030300912</v>
      </c>
      <c r="O5814" t="str">
        <f>"450702199902054215"</f>
        <v>450702199902054215</v>
      </c>
    </row>
    <row r="5815" customFormat="1" spans="1:15">
      <c r="A5815">
        <v>7415</v>
      </c>
      <c r="B5815" t="s">
        <v>6118</v>
      </c>
      <c r="C5815" t="str">
        <f>"430522200010052683"</f>
        <v>430522200010052683</v>
      </c>
      <c r="D5815" t="str">
        <f>"248030102013"</f>
        <v>248030102013</v>
      </c>
      <c r="L5815">
        <v>7415</v>
      </c>
      <c r="M5815" t="s">
        <v>6118</v>
      </c>
      <c r="N5815" t="str">
        <f>"248030102013"</f>
        <v>248030102013</v>
      </c>
      <c r="O5815" t="str">
        <f>"430522200010052683"</f>
        <v>430522200010052683</v>
      </c>
    </row>
    <row r="5816" customFormat="1" spans="1:15">
      <c r="A5816">
        <v>7416</v>
      </c>
      <c r="B5816" t="s">
        <v>6119</v>
      </c>
      <c r="C5816" t="str">
        <f>"469003200012136124"</f>
        <v>469003200012136124</v>
      </c>
      <c r="D5816" t="str">
        <f>"248030501510"</f>
        <v>248030501510</v>
      </c>
      <c r="L5816">
        <v>7416</v>
      </c>
      <c r="M5816" t="s">
        <v>6119</v>
      </c>
      <c r="N5816" t="str">
        <f>"248030501510"</f>
        <v>248030501510</v>
      </c>
      <c r="O5816" t="str">
        <f>"469003200012136124"</f>
        <v>469003200012136124</v>
      </c>
    </row>
    <row r="5817" customFormat="1" spans="1:15">
      <c r="A5817">
        <v>7418</v>
      </c>
      <c r="B5817" t="s">
        <v>6120</v>
      </c>
      <c r="C5817" t="str">
        <f>"142732199208180040"</f>
        <v>142732199208180040</v>
      </c>
      <c r="L5817">
        <v>7418</v>
      </c>
      <c r="M5817" t="s">
        <v>6120</v>
      </c>
      <c r="O5817" t="str">
        <f>"142732199208180040"</f>
        <v>142732199208180040</v>
      </c>
    </row>
    <row r="5818" customFormat="1" spans="1:15">
      <c r="A5818">
        <v>7419</v>
      </c>
      <c r="B5818" t="s">
        <v>6121</v>
      </c>
      <c r="C5818" t="str">
        <f>"460002199911011026"</f>
        <v>460002199911011026</v>
      </c>
      <c r="D5818" t="str">
        <f>"248030101523"</f>
        <v>248030101523</v>
      </c>
      <c r="L5818">
        <v>7419</v>
      </c>
      <c r="M5818" t="s">
        <v>6121</v>
      </c>
      <c r="N5818" t="str">
        <f>"248030101523"</f>
        <v>248030101523</v>
      </c>
      <c r="O5818" t="str">
        <f>"460002199911011026"</f>
        <v>460002199911011026</v>
      </c>
    </row>
    <row r="5819" customFormat="1" spans="1:15">
      <c r="A5819">
        <v>7420</v>
      </c>
      <c r="B5819" t="s">
        <v>5004</v>
      </c>
      <c r="C5819" t="str">
        <f>"152104199610245926"</f>
        <v>152104199610245926</v>
      </c>
      <c r="L5819">
        <v>7420</v>
      </c>
      <c r="M5819" t="s">
        <v>5004</v>
      </c>
      <c r="O5819" t="str">
        <f>"152104199610245926"</f>
        <v>152104199610245926</v>
      </c>
    </row>
    <row r="5820" customFormat="1" spans="1:15">
      <c r="A5820">
        <v>7421</v>
      </c>
      <c r="B5820" t="s">
        <v>6122</v>
      </c>
      <c r="C5820" t="str">
        <f>"460027200201314420"</f>
        <v>460027200201314420</v>
      </c>
      <c r="D5820" t="str">
        <f>"248030103101"</f>
        <v>248030103101</v>
      </c>
      <c r="L5820">
        <v>7421</v>
      </c>
      <c r="M5820" t="s">
        <v>6122</v>
      </c>
      <c r="N5820" t="str">
        <f>"248030103101"</f>
        <v>248030103101</v>
      </c>
      <c r="O5820" t="str">
        <f>"460027200201314420"</f>
        <v>460027200201314420</v>
      </c>
    </row>
    <row r="5821" customFormat="1" spans="1:15">
      <c r="A5821">
        <v>7422</v>
      </c>
      <c r="B5821" t="s">
        <v>6123</v>
      </c>
      <c r="C5821" t="str">
        <f>"460003199502172626"</f>
        <v>460003199502172626</v>
      </c>
      <c r="D5821" t="str">
        <f>"248030300406"</f>
        <v>248030300406</v>
      </c>
      <c r="L5821">
        <v>7422</v>
      </c>
      <c r="M5821" t="s">
        <v>6123</v>
      </c>
      <c r="N5821" t="str">
        <f>"248030300406"</f>
        <v>248030300406</v>
      </c>
      <c r="O5821" t="str">
        <f>"460003199502172626"</f>
        <v>460003199502172626</v>
      </c>
    </row>
    <row r="5822" customFormat="1" spans="1:15">
      <c r="A5822">
        <v>7424</v>
      </c>
      <c r="B5822" t="s">
        <v>6124</v>
      </c>
      <c r="C5822" t="str">
        <f>"350322199603262567"</f>
        <v>350322199603262567</v>
      </c>
      <c r="D5822" t="str">
        <f>"248030104512"</f>
        <v>248030104512</v>
      </c>
      <c r="L5822">
        <v>7424</v>
      </c>
      <c r="M5822" t="s">
        <v>6124</v>
      </c>
      <c r="N5822" t="str">
        <f>"248030104512"</f>
        <v>248030104512</v>
      </c>
      <c r="O5822" t="str">
        <f>"350322199603262567"</f>
        <v>350322199603262567</v>
      </c>
    </row>
    <row r="5823" customFormat="1" spans="1:15">
      <c r="A5823">
        <v>7425</v>
      </c>
      <c r="B5823" t="s">
        <v>6125</v>
      </c>
      <c r="C5823" t="str">
        <f>"460005199902015120"</f>
        <v>460005199902015120</v>
      </c>
      <c r="D5823" t="str">
        <f>"248030403203"</f>
        <v>248030403203</v>
      </c>
      <c r="L5823">
        <v>7425</v>
      </c>
      <c r="M5823" t="s">
        <v>6125</v>
      </c>
      <c r="N5823" t="str">
        <f>"248030403203"</f>
        <v>248030403203</v>
      </c>
      <c r="O5823" t="str">
        <f>"460005199902015120"</f>
        <v>460005199902015120</v>
      </c>
    </row>
    <row r="5824" customFormat="1" spans="1:15">
      <c r="A5824">
        <v>7426</v>
      </c>
      <c r="B5824" t="s">
        <v>6126</v>
      </c>
      <c r="C5824" t="str">
        <f>"460103200203091827"</f>
        <v>460103200203091827</v>
      </c>
      <c r="D5824" t="str">
        <f>"248030104613"</f>
        <v>248030104613</v>
      </c>
      <c r="L5824">
        <v>7426</v>
      </c>
      <c r="M5824" t="s">
        <v>6126</v>
      </c>
      <c r="N5824" t="str">
        <f>"248030104613"</f>
        <v>248030104613</v>
      </c>
      <c r="O5824" t="str">
        <f>"460103200203091827"</f>
        <v>460103200203091827</v>
      </c>
    </row>
    <row r="5825" customFormat="1" spans="1:15">
      <c r="A5825">
        <v>7427</v>
      </c>
      <c r="B5825" t="s">
        <v>6127</v>
      </c>
      <c r="C5825" t="str">
        <f>"430523199407286649"</f>
        <v>430523199407286649</v>
      </c>
      <c r="D5825" t="str">
        <f>"248030503010"</f>
        <v>248030503010</v>
      </c>
      <c r="L5825">
        <v>7427</v>
      </c>
      <c r="M5825" t="s">
        <v>6127</v>
      </c>
      <c r="N5825" t="str">
        <f>"248030503010"</f>
        <v>248030503010</v>
      </c>
      <c r="O5825" t="str">
        <f>"430523199407286649"</f>
        <v>430523199407286649</v>
      </c>
    </row>
    <row r="5826" customFormat="1" spans="1:15">
      <c r="A5826">
        <v>7428</v>
      </c>
      <c r="B5826" t="s">
        <v>6128</v>
      </c>
      <c r="C5826" t="str">
        <f>"460026199601174824"</f>
        <v>460026199601174824</v>
      </c>
      <c r="L5826">
        <v>7428</v>
      </c>
      <c r="M5826" t="s">
        <v>6128</v>
      </c>
      <c r="O5826" t="str">
        <f>"460026199601174824"</f>
        <v>460026199601174824</v>
      </c>
    </row>
    <row r="5827" customFormat="1" spans="1:15">
      <c r="A5827">
        <v>7429</v>
      </c>
      <c r="B5827" t="s">
        <v>6129</v>
      </c>
      <c r="C5827" t="str">
        <f>"460105200207092424"</f>
        <v>460105200207092424</v>
      </c>
      <c r="D5827" t="str">
        <f>"248030100208"</f>
        <v>248030100208</v>
      </c>
      <c r="L5827">
        <v>7429</v>
      </c>
      <c r="M5827" t="s">
        <v>6129</v>
      </c>
      <c r="N5827" t="str">
        <f>"248030100208"</f>
        <v>248030100208</v>
      </c>
      <c r="O5827" t="str">
        <f>"460105200207092424"</f>
        <v>460105200207092424</v>
      </c>
    </row>
    <row r="5828" customFormat="1" spans="1:15">
      <c r="A5828">
        <v>7430</v>
      </c>
      <c r="B5828" t="s">
        <v>6130</v>
      </c>
      <c r="C5828" t="str">
        <f>"441581199701290346"</f>
        <v>441581199701290346</v>
      </c>
      <c r="D5828" t="str">
        <f>"248030200408"</f>
        <v>248030200408</v>
      </c>
      <c r="L5828">
        <v>7430</v>
      </c>
      <c r="M5828" t="s">
        <v>6130</v>
      </c>
      <c r="N5828" t="str">
        <f>"248030200408"</f>
        <v>248030200408</v>
      </c>
      <c r="O5828" t="str">
        <f>"441581199701290346"</f>
        <v>441581199701290346</v>
      </c>
    </row>
    <row r="5829" customFormat="1" spans="1:15">
      <c r="A5829">
        <v>7431</v>
      </c>
      <c r="B5829" t="s">
        <v>6131</v>
      </c>
      <c r="C5829" t="str">
        <f>"460003200204294620"</f>
        <v>460003200204294620</v>
      </c>
      <c r="D5829" t="str">
        <f>"248030501209"</f>
        <v>248030501209</v>
      </c>
      <c r="L5829">
        <v>7431</v>
      </c>
      <c r="M5829" t="s">
        <v>6131</v>
      </c>
      <c r="N5829" t="str">
        <f>"248030501209"</f>
        <v>248030501209</v>
      </c>
      <c r="O5829" t="str">
        <f>"460003200204294620"</f>
        <v>460003200204294620</v>
      </c>
    </row>
    <row r="5830" customFormat="1" spans="1:15">
      <c r="A5830">
        <v>7432</v>
      </c>
      <c r="B5830" t="s">
        <v>6132</v>
      </c>
      <c r="C5830" t="str">
        <f>"460104200208121219"</f>
        <v>460104200208121219</v>
      </c>
      <c r="D5830" t="str">
        <f>"248030500405"</f>
        <v>248030500405</v>
      </c>
      <c r="L5830">
        <v>7432</v>
      </c>
      <c r="M5830" t="s">
        <v>6132</v>
      </c>
      <c r="N5830" t="str">
        <f>"248030500405"</f>
        <v>248030500405</v>
      </c>
      <c r="O5830" t="str">
        <f>"460104200208121219"</f>
        <v>460104200208121219</v>
      </c>
    </row>
    <row r="5831" customFormat="1" spans="1:15">
      <c r="A5831">
        <v>7433</v>
      </c>
      <c r="B5831" t="s">
        <v>6133</v>
      </c>
      <c r="C5831" t="str">
        <f>"460007199704164961"</f>
        <v>460007199704164961</v>
      </c>
      <c r="D5831" t="str">
        <f>"248030101528"</f>
        <v>248030101528</v>
      </c>
      <c r="L5831">
        <v>7433</v>
      </c>
      <c r="M5831" t="s">
        <v>6133</v>
      </c>
      <c r="N5831" t="str">
        <f>"248030101528"</f>
        <v>248030101528</v>
      </c>
      <c r="O5831" t="str">
        <f>"460007199704164961"</f>
        <v>460007199704164961</v>
      </c>
    </row>
    <row r="5832" customFormat="1" spans="1:15">
      <c r="A5832">
        <v>7436</v>
      </c>
      <c r="B5832" t="s">
        <v>6134</v>
      </c>
      <c r="C5832" t="str">
        <f>"460004199802164421"</f>
        <v>460004199802164421</v>
      </c>
      <c r="D5832" t="str">
        <f>"248030301030"</f>
        <v>248030301030</v>
      </c>
      <c r="L5832">
        <v>7436</v>
      </c>
      <c r="M5832" t="s">
        <v>6134</v>
      </c>
      <c r="N5832" t="str">
        <f>"248030301030"</f>
        <v>248030301030</v>
      </c>
      <c r="O5832" t="str">
        <f>"460004199802164421"</f>
        <v>460004199802164421</v>
      </c>
    </row>
    <row r="5833" customFormat="1" spans="1:15">
      <c r="A5833">
        <v>7437</v>
      </c>
      <c r="B5833" t="s">
        <v>6135</v>
      </c>
      <c r="C5833" t="str">
        <f>"460003199810112844"</f>
        <v>460003199810112844</v>
      </c>
      <c r="D5833" t="str">
        <f>"248030200605"</f>
        <v>248030200605</v>
      </c>
      <c r="L5833">
        <v>7437</v>
      </c>
      <c r="M5833" t="s">
        <v>6135</v>
      </c>
      <c r="N5833" t="str">
        <f>"248030200605"</f>
        <v>248030200605</v>
      </c>
      <c r="O5833" t="str">
        <f>"460003199810112844"</f>
        <v>460003199810112844</v>
      </c>
    </row>
    <row r="5834" customFormat="1" spans="1:15">
      <c r="A5834">
        <v>7439</v>
      </c>
      <c r="B5834" t="s">
        <v>6136</v>
      </c>
      <c r="C5834" t="str">
        <f>"46000520000816512X"</f>
        <v>46000520000816512X</v>
      </c>
      <c r="D5834" t="str">
        <f>"248030104004"</f>
        <v>248030104004</v>
      </c>
      <c r="L5834">
        <v>7439</v>
      </c>
      <c r="M5834" t="s">
        <v>6136</v>
      </c>
      <c r="N5834" t="str">
        <f>"248030104004"</f>
        <v>248030104004</v>
      </c>
      <c r="O5834" t="str">
        <f>"46000520000816512X"</f>
        <v>46000520000816512X</v>
      </c>
    </row>
    <row r="5835" customFormat="1" spans="1:15">
      <c r="A5835">
        <v>7440</v>
      </c>
      <c r="B5835" t="s">
        <v>6137</v>
      </c>
      <c r="C5835" t="str">
        <f>"460003199510112666"</f>
        <v>460003199510112666</v>
      </c>
      <c r="D5835" t="str">
        <f>"248030402805"</f>
        <v>248030402805</v>
      </c>
      <c r="L5835">
        <v>7440</v>
      </c>
      <c r="M5835" t="s">
        <v>6137</v>
      </c>
      <c r="N5835" t="str">
        <f>"248030402805"</f>
        <v>248030402805</v>
      </c>
      <c r="O5835" t="str">
        <f>"460003199510112666"</f>
        <v>460003199510112666</v>
      </c>
    </row>
    <row r="5836" customFormat="1" spans="1:15">
      <c r="A5836">
        <v>7441</v>
      </c>
      <c r="B5836" t="s">
        <v>6138</v>
      </c>
      <c r="C5836" t="str">
        <f>"469027200103316009"</f>
        <v>469027200103316009</v>
      </c>
      <c r="D5836" t="str">
        <f>"248030101825"</f>
        <v>248030101825</v>
      </c>
      <c r="L5836">
        <v>7441</v>
      </c>
      <c r="M5836" t="s">
        <v>6138</v>
      </c>
      <c r="N5836" t="str">
        <f>"248030101825"</f>
        <v>248030101825</v>
      </c>
      <c r="O5836" t="str">
        <f>"469027200103316009"</f>
        <v>469027200103316009</v>
      </c>
    </row>
    <row r="5837" customFormat="1" spans="1:15">
      <c r="A5837">
        <v>7442</v>
      </c>
      <c r="B5837" t="s">
        <v>6139</v>
      </c>
      <c r="C5837" t="str">
        <f>"469025199908183321"</f>
        <v>469025199908183321</v>
      </c>
      <c r="D5837" t="str">
        <f>"248030103914"</f>
        <v>248030103914</v>
      </c>
      <c r="L5837">
        <v>7442</v>
      </c>
      <c r="M5837" t="s">
        <v>6139</v>
      </c>
      <c r="N5837" t="str">
        <f>"248030103914"</f>
        <v>248030103914</v>
      </c>
      <c r="O5837" t="str">
        <f>"469025199908183321"</f>
        <v>469025199908183321</v>
      </c>
    </row>
    <row r="5838" customFormat="1" spans="1:15">
      <c r="A5838">
        <v>7444</v>
      </c>
      <c r="B5838" t="s">
        <v>6140</v>
      </c>
      <c r="C5838" t="str">
        <f>"460002199410132225"</f>
        <v>460002199410132225</v>
      </c>
      <c r="D5838" t="str">
        <f>"248030100517"</f>
        <v>248030100517</v>
      </c>
      <c r="L5838">
        <v>7444</v>
      </c>
      <c r="M5838" t="s">
        <v>6140</v>
      </c>
      <c r="N5838" t="str">
        <f>"248030100517"</f>
        <v>248030100517</v>
      </c>
      <c r="O5838" t="str">
        <f>"460002199410132225"</f>
        <v>460002199410132225</v>
      </c>
    </row>
    <row r="5839" customFormat="1" spans="1:15">
      <c r="A5839">
        <v>7445</v>
      </c>
      <c r="B5839" t="s">
        <v>6141</v>
      </c>
      <c r="C5839" t="str">
        <f>"460200199202170022"</f>
        <v>460200199202170022</v>
      </c>
      <c r="D5839" t="str">
        <f>"248030302715"</f>
        <v>248030302715</v>
      </c>
      <c r="L5839">
        <v>7445</v>
      </c>
      <c r="M5839" t="s">
        <v>6141</v>
      </c>
      <c r="N5839" t="str">
        <f>"248030302715"</f>
        <v>248030302715</v>
      </c>
      <c r="O5839" t="str">
        <f>"460200199202170022"</f>
        <v>460200199202170022</v>
      </c>
    </row>
    <row r="5840" customFormat="1" spans="1:15">
      <c r="A5840">
        <v>7446</v>
      </c>
      <c r="B5840" t="s">
        <v>6142</v>
      </c>
      <c r="C5840" t="str">
        <f>"460027199403015650"</f>
        <v>460027199403015650</v>
      </c>
      <c r="D5840" t="str">
        <f>"248030400815"</f>
        <v>248030400815</v>
      </c>
      <c r="L5840">
        <v>7446</v>
      </c>
      <c r="M5840" t="s">
        <v>6142</v>
      </c>
      <c r="N5840" t="str">
        <f>"248030400815"</f>
        <v>248030400815</v>
      </c>
      <c r="O5840" t="str">
        <f>"460027199403015650"</f>
        <v>460027199403015650</v>
      </c>
    </row>
    <row r="5841" customFormat="1" spans="1:15">
      <c r="A5841">
        <v>7448</v>
      </c>
      <c r="B5841" t="s">
        <v>6143</v>
      </c>
      <c r="C5841" t="str">
        <f>"460006199005040023"</f>
        <v>460006199005040023</v>
      </c>
      <c r="L5841">
        <v>7448</v>
      </c>
      <c r="M5841" t="s">
        <v>6143</v>
      </c>
      <c r="O5841" t="str">
        <f>"460006199005040023"</f>
        <v>460006199005040023</v>
      </c>
    </row>
    <row r="5842" customFormat="1" spans="1:15">
      <c r="A5842">
        <v>7449</v>
      </c>
      <c r="B5842" t="s">
        <v>6144</v>
      </c>
      <c r="C5842" t="str">
        <f>"469024200201042022"</f>
        <v>469024200201042022</v>
      </c>
      <c r="D5842" t="str">
        <f>"248030301929"</f>
        <v>248030301929</v>
      </c>
      <c r="L5842">
        <v>7449</v>
      </c>
      <c r="M5842" t="s">
        <v>6144</v>
      </c>
      <c r="N5842" t="str">
        <f>"248030301929"</f>
        <v>248030301929</v>
      </c>
      <c r="O5842" t="str">
        <f>"469024200201042022"</f>
        <v>469024200201042022</v>
      </c>
    </row>
    <row r="5843" customFormat="1" spans="1:15">
      <c r="A5843">
        <v>7450</v>
      </c>
      <c r="B5843" t="s">
        <v>6145</v>
      </c>
      <c r="C5843" t="str">
        <f>"460102199812081825"</f>
        <v>460102199812081825</v>
      </c>
      <c r="D5843" t="str">
        <f>"248030102518"</f>
        <v>248030102518</v>
      </c>
      <c r="L5843">
        <v>7450</v>
      </c>
      <c r="M5843" t="s">
        <v>6145</v>
      </c>
      <c r="N5843" t="str">
        <f>"248030102518"</f>
        <v>248030102518</v>
      </c>
      <c r="O5843" t="str">
        <f>"460102199812081825"</f>
        <v>460102199812081825</v>
      </c>
    </row>
    <row r="5844" customFormat="1" spans="1:15">
      <c r="A5844">
        <v>7452</v>
      </c>
      <c r="B5844" t="s">
        <v>6146</v>
      </c>
      <c r="C5844" t="str">
        <f>"460103199605153327"</f>
        <v>460103199605153327</v>
      </c>
      <c r="D5844" t="str">
        <f>"248030101216"</f>
        <v>248030101216</v>
      </c>
      <c r="L5844">
        <v>7452</v>
      </c>
      <c r="M5844" t="s">
        <v>6146</v>
      </c>
      <c r="N5844" t="str">
        <f>"248030101216"</f>
        <v>248030101216</v>
      </c>
      <c r="O5844" t="str">
        <f>"460103199605153327"</f>
        <v>460103199605153327</v>
      </c>
    </row>
    <row r="5845" customFormat="1" spans="1:15">
      <c r="A5845">
        <v>7453</v>
      </c>
      <c r="B5845" t="s">
        <v>6147</v>
      </c>
      <c r="C5845" t="str">
        <f>"460102200010120023"</f>
        <v>460102200010120023</v>
      </c>
      <c r="D5845" t="str">
        <f>"248030501610"</f>
        <v>248030501610</v>
      </c>
      <c r="L5845">
        <v>7453</v>
      </c>
      <c r="M5845" t="s">
        <v>6147</v>
      </c>
      <c r="N5845" t="str">
        <f>"248030501610"</f>
        <v>248030501610</v>
      </c>
      <c r="O5845" t="str">
        <f>"460102200010120023"</f>
        <v>460102200010120023</v>
      </c>
    </row>
    <row r="5846" customFormat="1" spans="1:15">
      <c r="A5846">
        <v>7454</v>
      </c>
      <c r="B5846" t="s">
        <v>6148</v>
      </c>
      <c r="C5846" t="str">
        <f>"460200199904043845"</f>
        <v>460200199904043845</v>
      </c>
      <c r="D5846" t="str">
        <f>"248030503610"</f>
        <v>248030503610</v>
      </c>
      <c r="L5846">
        <v>7454</v>
      </c>
      <c r="M5846" t="s">
        <v>6148</v>
      </c>
      <c r="N5846" t="str">
        <f>"248030503610"</f>
        <v>248030503610</v>
      </c>
      <c r="O5846" t="str">
        <f>"460200199904043845"</f>
        <v>460200199904043845</v>
      </c>
    </row>
    <row r="5847" customFormat="1" spans="1:15">
      <c r="A5847">
        <v>7455</v>
      </c>
      <c r="B5847" t="s">
        <v>6149</v>
      </c>
      <c r="C5847" t="str">
        <f>"460027200107061025"</f>
        <v>460027200107061025</v>
      </c>
      <c r="D5847" t="str">
        <f>"248030501624"</f>
        <v>248030501624</v>
      </c>
      <c r="L5847">
        <v>7455</v>
      </c>
      <c r="M5847" t="s">
        <v>6149</v>
      </c>
      <c r="N5847" t="str">
        <f>"248030501624"</f>
        <v>248030501624</v>
      </c>
      <c r="O5847" t="str">
        <f>"460027200107061025"</f>
        <v>460027200107061025</v>
      </c>
    </row>
    <row r="5848" customFormat="1" spans="1:15">
      <c r="A5848">
        <v>7456</v>
      </c>
      <c r="B5848" t="s">
        <v>6150</v>
      </c>
      <c r="C5848" t="str">
        <f>"46000620010910754X"</f>
        <v>46000620010910754X</v>
      </c>
      <c r="D5848" t="str">
        <f>"248030200404"</f>
        <v>248030200404</v>
      </c>
      <c r="L5848">
        <v>7456</v>
      </c>
      <c r="M5848" t="s">
        <v>6150</v>
      </c>
      <c r="N5848" t="str">
        <f>"248030200404"</f>
        <v>248030200404</v>
      </c>
      <c r="O5848" t="str">
        <f>"46000620010910754X"</f>
        <v>46000620010910754X</v>
      </c>
    </row>
    <row r="5849" customFormat="1" spans="1:15">
      <c r="A5849">
        <v>7457</v>
      </c>
      <c r="B5849" t="s">
        <v>6151</v>
      </c>
      <c r="C5849" t="str">
        <f>"530323199702181922"</f>
        <v>530323199702181922</v>
      </c>
      <c r="L5849">
        <v>7457</v>
      </c>
      <c r="M5849" t="s">
        <v>6151</v>
      </c>
      <c r="O5849" t="str">
        <f>"530323199702181922"</f>
        <v>530323199702181922</v>
      </c>
    </row>
    <row r="5850" customFormat="1" spans="1:15">
      <c r="A5850">
        <v>7459</v>
      </c>
      <c r="B5850" t="s">
        <v>6152</v>
      </c>
      <c r="C5850" t="str">
        <f>"150203200205303144"</f>
        <v>150203200205303144</v>
      </c>
      <c r="D5850" t="str">
        <f>"248030400222"</f>
        <v>248030400222</v>
      </c>
      <c r="L5850">
        <v>7459</v>
      </c>
      <c r="M5850" t="s">
        <v>6152</v>
      </c>
      <c r="N5850" t="str">
        <f>"248030400222"</f>
        <v>248030400222</v>
      </c>
      <c r="O5850" t="str">
        <f>"150203200205303144"</f>
        <v>150203200205303144</v>
      </c>
    </row>
    <row r="5851" customFormat="1" spans="1:15">
      <c r="A5851">
        <v>7461</v>
      </c>
      <c r="B5851" t="s">
        <v>718</v>
      </c>
      <c r="C5851" t="str">
        <f>"46002719960526062X"</f>
        <v>46002719960526062X</v>
      </c>
      <c r="D5851" t="str">
        <f>"248030105020"</f>
        <v>248030105020</v>
      </c>
      <c r="L5851">
        <v>7461</v>
      </c>
      <c r="M5851" t="s">
        <v>718</v>
      </c>
      <c r="N5851" t="str">
        <f>"248030105020"</f>
        <v>248030105020</v>
      </c>
      <c r="O5851" t="str">
        <f>"46002719960526062X"</f>
        <v>46002719960526062X</v>
      </c>
    </row>
    <row r="5852" customFormat="1" spans="1:15">
      <c r="A5852">
        <v>7462</v>
      </c>
      <c r="B5852" t="s">
        <v>6153</v>
      </c>
      <c r="C5852" t="str">
        <f>"652827200306030329"</f>
        <v>652827200306030329</v>
      </c>
      <c r="D5852" t="str">
        <f>"248030202913"</f>
        <v>248030202913</v>
      </c>
      <c r="L5852">
        <v>7462</v>
      </c>
      <c r="M5852" t="s">
        <v>6153</v>
      </c>
      <c r="N5852" t="str">
        <f>"248030202913"</f>
        <v>248030202913</v>
      </c>
      <c r="O5852" t="str">
        <f>"652827200306030329"</f>
        <v>652827200306030329</v>
      </c>
    </row>
    <row r="5853" customFormat="1" spans="1:15">
      <c r="A5853">
        <v>7463</v>
      </c>
      <c r="B5853" t="s">
        <v>6154</v>
      </c>
      <c r="C5853" t="str">
        <f>"460006199306101707"</f>
        <v>460006199306101707</v>
      </c>
      <c r="D5853" t="str">
        <f>"248030503205"</f>
        <v>248030503205</v>
      </c>
      <c r="L5853">
        <v>7463</v>
      </c>
      <c r="M5853" t="s">
        <v>6154</v>
      </c>
      <c r="N5853" t="str">
        <f>"248030503205"</f>
        <v>248030503205</v>
      </c>
      <c r="O5853" t="str">
        <f>"460006199306101707"</f>
        <v>460006199306101707</v>
      </c>
    </row>
    <row r="5854" customFormat="1" spans="1:15">
      <c r="A5854">
        <v>7464</v>
      </c>
      <c r="B5854" t="s">
        <v>6155</v>
      </c>
      <c r="C5854" t="str">
        <f>"460005199806233718"</f>
        <v>460005199806233718</v>
      </c>
      <c r="D5854" t="str">
        <f>"248030400705"</f>
        <v>248030400705</v>
      </c>
      <c r="L5854">
        <v>7464</v>
      </c>
      <c r="M5854" t="s">
        <v>6155</v>
      </c>
      <c r="N5854" t="str">
        <f>"248030400705"</f>
        <v>248030400705</v>
      </c>
      <c r="O5854" t="str">
        <f>"460005199806233718"</f>
        <v>460005199806233718</v>
      </c>
    </row>
    <row r="5855" customFormat="1" spans="1:15">
      <c r="A5855">
        <v>7465</v>
      </c>
      <c r="B5855" t="s">
        <v>6156</v>
      </c>
      <c r="C5855" t="str">
        <f>"460028199810151226"</f>
        <v>460028199810151226</v>
      </c>
      <c r="D5855" t="str">
        <f>"248030302520"</f>
        <v>248030302520</v>
      </c>
      <c r="L5855">
        <v>7465</v>
      </c>
      <c r="M5855" t="s">
        <v>6156</v>
      </c>
      <c r="N5855" t="str">
        <f>"248030302520"</f>
        <v>248030302520</v>
      </c>
      <c r="O5855" t="str">
        <f>"460028199810151226"</f>
        <v>460028199810151226</v>
      </c>
    </row>
    <row r="5856" customFormat="1" spans="1:15">
      <c r="A5856">
        <v>7466</v>
      </c>
      <c r="B5856" t="s">
        <v>6157</v>
      </c>
      <c r="C5856" t="str">
        <f>"460027199908300625"</f>
        <v>460027199908300625</v>
      </c>
      <c r="L5856">
        <v>7466</v>
      </c>
      <c r="M5856" t="s">
        <v>6157</v>
      </c>
      <c r="O5856" t="str">
        <f>"460027199908300625"</f>
        <v>460027199908300625</v>
      </c>
    </row>
    <row r="5857" customFormat="1" spans="1:15">
      <c r="A5857">
        <v>7468</v>
      </c>
      <c r="B5857" t="s">
        <v>6158</v>
      </c>
      <c r="C5857" t="str">
        <f>"469028199912170020"</f>
        <v>469028199912170020</v>
      </c>
      <c r="L5857">
        <v>7468</v>
      </c>
      <c r="M5857" t="s">
        <v>6158</v>
      </c>
      <c r="O5857" t="str">
        <f>"469028199912170020"</f>
        <v>469028199912170020</v>
      </c>
    </row>
    <row r="5858" customFormat="1" spans="1:15">
      <c r="A5858">
        <v>7469</v>
      </c>
      <c r="B5858" t="s">
        <v>6159</v>
      </c>
      <c r="C5858" t="str">
        <f>"460003200204092412"</f>
        <v>460003200204092412</v>
      </c>
      <c r="D5858" t="str">
        <f>"248030300805"</f>
        <v>248030300805</v>
      </c>
      <c r="L5858">
        <v>7469</v>
      </c>
      <c r="M5858" t="s">
        <v>6159</v>
      </c>
      <c r="N5858" t="str">
        <f>"248030300805"</f>
        <v>248030300805</v>
      </c>
      <c r="O5858" t="str">
        <f>"460003200204092412"</f>
        <v>460003200204092412</v>
      </c>
    </row>
    <row r="5859" customFormat="1" spans="1:15">
      <c r="A5859">
        <v>7470</v>
      </c>
      <c r="B5859" t="s">
        <v>6160</v>
      </c>
      <c r="C5859" t="str">
        <f>"460003200204206627"</f>
        <v>460003200204206627</v>
      </c>
      <c r="L5859">
        <v>7470</v>
      </c>
      <c r="M5859" t="s">
        <v>6160</v>
      </c>
      <c r="O5859" t="str">
        <f>"460003200204206627"</f>
        <v>460003200204206627</v>
      </c>
    </row>
    <row r="5860" customFormat="1" spans="1:15">
      <c r="A5860">
        <v>7471</v>
      </c>
      <c r="B5860" t="s">
        <v>6161</v>
      </c>
      <c r="C5860" t="str">
        <f>"460002200005224420"</f>
        <v>460002200005224420</v>
      </c>
      <c r="D5860" t="str">
        <f>"248030200423"</f>
        <v>248030200423</v>
      </c>
      <c r="L5860">
        <v>7471</v>
      </c>
      <c r="M5860" t="s">
        <v>6161</v>
      </c>
      <c r="N5860" t="str">
        <f>"248030200423"</f>
        <v>248030200423</v>
      </c>
      <c r="O5860" t="str">
        <f>"460002200005224420"</f>
        <v>460002200005224420</v>
      </c>
    </row>
    <row r="5861" customFormat="1" spans="1:15">
      <c r="A5861">
        <v>7472</v>
      </c>
      <c r="B5861" t="s">
        <v>6162</v>
      </c>
      <c r="C5861" t="str">
        <f>"460003200101047029"</f>
        <v>460003200101047029</v>
      </c>
      <c r="D5861" t="str">
        <f>"248030402404"</f>
        <v>248030402404</v>
      </c>
      <c r="L5861">
        <v>7472</v>
      </c>
      <c r="M5861" t="s">
        <v>6162</v>
      </c>
      <c r="N5861" t="str">
        <f>"248030402404"</f>
        <v>248030402404</v>
      </c>
      <c r="O5861" t="str">
        <f>"460003200101047029"</f>
        <v>460003200101047029</v>
      </c>
    </row>
    <row r="5862" customFormat="1" spans="1:15">
      <c r="A5862">
        <v>7473</v>
      </c>
      <c r="B5862" t="s">
        <v>6163</v>
      </c>
      <c r="C5862" t="str">
        <f>"460104199910020025"</f>
        <v>460104199910020025</v>
      </c>
      <c r="D5862" t="str">
        <f>"248030500214"</f>
        <v>248030500214</v>
      </c>
      <c r="L5862">
        <v>7473</v>
      </c>
      <c r="M5862" t="s">
        <v>6163</v>
      </c>
      <c r="N5862" t="str">
        <f>"248030500214"</f>
        <v>248030500214</v>
      </c>
      <c r="O5862" t="str">
        <f>"460104199910020025"</f>
        <v>460104199910020025</v>
      </c>
    </row>
    <row r="5863" customFormat="1" spans="1:15">
      <c r="A5863">
        <v>7475</v>
      </c>
      <c r="B5863" t="s">
        <v>6164</v>
      </c>
      <c r="C5863" t="str">
        <f>"469024200201090040"</f>
        <v>469024200201090040</v>
      </c>
      <c r="D5863" t="str">
        <f>"248030302112"</f>
        <v>248030302112</v>
      </c>
      <c r="L5863">
        <v>7475</v>
      </c>
      <c r="M5863" t="s">
        <v>6164</v>
      </c>
      <c r="N5863" t="str">
        <f>"248030302112"</f>
        <v>248030302112</v>
      </c>
      <c r="O5863" t="str">
        <f>"469024200201090040"</f>
        <v>469024200201090040</v>
      </c>
    </row>
    <row r="5864" customFormat="1" spans="1:15">
      <c r="A5864">
        <v>7477</v>
      </c>
      <c r="B5864" t="s">
        <v>6165</v>
      </c>
      <c r="C5864" t="str">
        <f>"469005200203222327"</f>
        <v>469005200203222327</v>
      </c>
      <c r="D5864" t="str">
        <f>"248030301019"</f>
        <v>248030301019</v>
      </c>
      <c r="L5864">
        <v>7477</v>
      </c>
      <c r="M5864" t="s">
        <v>6165</v>
      </c>
      <c r="N5864" t="str">
        <f>"248030301019"</f>
        <v>248030301019</v>
      </c>
      <c r="O5864" t="str">
        <f>"469005200203222327"</f>
        <v>469005200203222327</v>
      </c>
    </row>
    <row r="5865" customFormat="1" spans="1:15">
      <c r="A5865">
        <v>7480</v>
      </c>
      <c r="B5865" t="s">
        <v>6166</v>
      </c>
      <c r="C5865" t="str">
        <f>"460007200209262025"</f>
        <v>460007200209262025</v>
      </c>
      <c r="D5865" t="str">
        <f>"248030101623"</f>
        <v>248030101623</v>
      </c>
      <c r="L5865">
        <v>7480</v>
      </c>
      <c r="M5865" t="s">
        <v>6166</v>
      </c>
      <c r="N5865" t="str">
        <f>"248030101623"</f>
        <v>248030101623</v>
      </c>
      <c r="O5865" t="str">
        <f>"460007200209262025"</f>
        <v>460007200209262025</v>
      </c>
    </row>
    <row r="5866" customFormat="1" spans="1:15">
      <c r="A5866">
        <v>7481</v>
      </c>
      <c r="B5866" t="s">
        <v>403</v>
      </c>
      <c r="C5866" t="str">
        <f>"460004200102010814"</f>
        <v>460004200102010814</v>
      </c>
      <c r="D5866" t="str">
        <f>"248030400306"</f>
        <v>248030400306</v>
      </c>
      <c r="L5866">
        <v>7481</v>
      </c>
      <c r="M5866" t="s">
        <v>403</v>
      </c>
      <c r="N5866" t="str">
        <f>"248030400306"</f>
        <v>248030400306</v>
      </c>
      <c r="O5866" t="str">
        <f>"460004200102010814"</f>
        <v>460004200102010814</v>
      </c>
    </row>
    <row r="5867" customFormat="1" spans="1:15">
      <c r="A5867">
        <v>7482</v>
      </c>
      <c r="B5867" t="s">
        <v>6167</v>
      </c>
      <c r="C5867" t="str">
        <f>"460027200205082911"</f>
        <v>460027200205082911</v>
      </c>
      <c r="D5867" t="str">
        <f>"248030100814"</f>
        <v>248030100814</v>
      </c>
      <c r="L5867">
        <v>7482</v>
      </c>
      <c r="M5867" t="s">
        <v>6167</v>
      </c>
      <c r="N5867" t="str">
        <f>"248030100814"</f>
        <v>248030100814</v>
      </c>
      <c r="O5867" t="str">
        <f>"460027200205082911"</f>
        <v>460027200205082911</v>
      </c>
    </row>
    <row r="5868" customFormat="1" spans="1:15">
      <c r="A5868">
        <v>7483</v>
      </c>
      <c r="B5868" t="s">
        <v>6168</v>
      </c>
      <c r="C5868" t="str">
        <f>"460103199401050326"</f>
        <v>460103199401050326</v>
      </c>
      <c r="D5868" t="str">
        <f>"248030100630"</f>
        <v>248030100630</v>
      </c>
      <c r="L5868">
        <v>7483</v>
      </c>
      <c r="M5868" t="s">
        <v>6168</v>
      </c>
      <c r="N5868" t="str">
        <f>"248030100630"</f>
        <v>248030100630</v>
      </c>
      <c r="O5868" t="str">
        <f>"460103199401050326"</f>
        <v>460103199401050326</v>
      </c>
    </row>
    <row r="5869" customFormat="1" spans="1:15">
      <c r="A5869">
        <v>7485</v>
      </c>
      <c r="B5869" t="s">
        <v>6169</v>
      </c>
      <c r="C5869" t="str">
        <f>"460102199208062767"</f>
        <v>460102199208062767</v>
      </c>
      <c r="L5869">
        <v>7485</v>
      </c>
      <c r="M5869" t="s">
        <v>6169</v>
      </c>
      <c r="O5869" t="str">
        <f>"460102199208062767"</f>
        <v>460102199208062767</v>
      </c>
    </row>
    <row r="5870" customFormat="1" spans="1:15">
      <c r="A5870">
        <v>7486</v>
      </c>
      <c r="B5870" t="s">
        <v>6170</v>
      </c>
      <c r="C5870" t="str">
        <f>"342622200101273778"</f>
        <v>342622200101273778</v>
      </c>
      <c r="D5870" t="str">
        <f>"248030101310"</f>
        <v>248030101310</v>
      </c>
      <c r="L5870">
        <v>7486</v>
      </c>
      <c r="M5870" t="s">
        <v>6170</v>
      </c>
      <c r="N5870" t="str">
        <f>"248030101310"</f>
        <v>248030101310</v>
      </c>
      <c r="O5870" t="str">
        <f>"342622200101273778"</f>
        <v>342622200101273778</v>
      </c>
    </row>
    <row r="5871" customFormat="1" spans="1:15">
      <c r="A5871">
        <v>7487</v>
      </c>
      <c r="B5871" t="s">
        <v>6171</v>
      </c>
      <c r="C5871" t="str">
        <f>"460004199708034022"</f>
        <v>460004199708034022</v>
      </c>
      <c r="L5871">
        <v>7487</v>
      </c>
      <c r="M5871" t="s">
        <v>6171</v>
      </c>
      <c r="O5871" t="str">
        <f>"460004199708034022"</f>
        <v>460004199708034022</v>
      </c>
    </row>
    <row r="5872" customFormat="1" spans="1:15">
      <c r="A5872">
        <v>7490</v>
      </c>
      <c r="B5872" t="s">
        <v>6172</v>
      </c>
      <c r="C5872" t="str">
        <f>"460033199710254202"</f>
        <v>460033199710254202</v>
      </c>
      <c r="D5872" t="str">
        <f>"248030400225"</f>
        <v>248030400225</v>
      </c>
      <c r="L5872">
        <v>7490</v>
      </c>
      <c r="M5872" t="s">
        <v>6172</v>
      </c>
      <c r="N5872" t="str">
        <f>"248030400225"</f>
        <v>248030400225</v>
      </c>
      <c r="O5872" t="str">
        <f>"460033199710254202"</f>
        <v>460033199710254202</v>
      </c>
    </row>
    <row r="5873" customFormat="1" spans="1:15">
      <c r="A5873">
        <v>7493</v>
      </c>
      <c r="B5873" t="s">
        <v>6173</v>
      </c>
      <c r="C5873" t="str">
        <f>"460005200009100723"</f>
        <v>460005200009100723</v>
      </c>
      <c r="D5873" t="str">
        <f>"248030502909"</f>
        <v>248030502909</v>
      </c>
      <c r="L5873">
        <v>7493</v>
      </c>
      <c r="M5873" t="s">
        <v>6173</v>
      </c>
      <c r="N5873" t="str">
        <f>"248030502909"</f>
        <v>248030502909</v>
      </c>
      <c r="O5873" t="str">
        <f>"460005200009100723"</f>
        <v>460005200009100723</v>
      </c>
    </row>
    <row r="5874" customFormat="1" spans="1:15">
      <c r="A5874">
        <v>7495</v>
      </c>
      <c r="B5874" t="s">
        <v>6174</v>
      </c>
      <c r="C5874" t="str">
        <f>"460007200111214965"</f>
        <v>460007200111214965</v>
      </c>
      <c r="D5874" t="str">
        <f>"248030503805"</f>
        <v>248030503805</v>
      </c>
      <c r="L5874">
        <v>7495</v>
      </c>
      <c r="M5874" t="s">
        <v>6174</v>
      </c>
      <c r="N5874" t="str">
        <f>"248030503805"</f>
        <v>248030503805</v>
      </c>
      <c r="O5874" t="str">
        <f>"460007200111214965"</f>
        <v>460007200111214965</v>
      </c>
    </row>
    <row r="5875" customFormat="1" spans="1:15">
      <c r="A5875">
        <v>7496</v>
      </c>
      <c r="B5875" t="s">
        <v>6175</v>
      </c>
      <c r="C5875" t="str">
        <f>"46000620020427061X"</f>
        <v>46000620020427061X</v>
      </c>
      <c r="D5875" t="str">
        <f>"248030202014"</f>
        <v>248030202014</v>
      </c>
      <c r="L5875">
        <v>7496</v>
      </c>
      <c r="M5875" t="s">
        <v>6175</v>
      </c>
      <c r="N5875" t="str">
        <f>"248030202014"</f>
        <v>248030202014</v>
      </c>
      <c r="O5875" t="str">
        <f>"46000620020427061X"</f>
        <v>46000620020427061X</v>
      </c>
    </row>
    <row r="5876" customFormat="1" spans="1:15">
      <c r="A5876">
        <v>7497</v>
      </c>
      <c r="B5876" t="s">
        <v>6176</v>
      </c>
      <c r="C5876" t="str">
        <f>"460006200011211648"</f>
        <v>460006200011211648</v>
      </c>
      <c r="D5876" t="str">
        <f>"248030200223"</f>
        <v>248030200223</v>
      </c>
      <c r="L5876">
        <v>7497</v>
      </c>
      <c r="M5876" t="s">
        <v>6176</v>
      </c>
      <c r="N5876" t="str">
        <f>"248030200223"</f>
        <v>248030200223</v>
      </c>
      <c r="O5876" t="str">
        <f>"460006200011211648"</f>
        <v>460006200011211648</v>
      </c>
    </row>
    <row r="5877" customFormat="1" spans="1:15">
      <c r="A5877">
        <v>7498</v>
      </c>
      <c r="B5877" t="s">
        <v>6177</v>
      </c>
      <c r="C5877" t="str">
        <f>"460102199707101222"</f>
        <v>460102199707101222</v>
      </c>
      <c r="L5877">
        <v>7498</v>
      </c>
      <c r="M5877" t="s">
        <v>6177</v>
      </c>
      <c r="O5877" t="str">
        <f>"460102199707101222"</f>
        <v>460102199707101222</v>
      </c>
    </row>
    <row r="5878" customFormat="1" spans="1:15">
      <c r="A5878">
        <v>7499</v>
      </c>
      <c r="B5878" t="s">
        <v>6178</v>
      </c>
      <c r="C5878" t="str">
        <f>"460004199605165222"</f>
        <v>460004199605165222</v>
      </c>
      <c r="D5878" t="str">
        <f>"248030100225"</f>
        <v>248030100225</v>
      </c>
      <c r="L5878">
        <v>7499</v>
      </c>
      <c r="M5878" t="s">
        <v>6178</v>
      </c>
      <c r="N5878" t="str">
        <f>"248030100225"</f>
        <v>248030100225</v>
      </c>
      <c r="O5878" t="str">
        <f>"460004199605165222"</f>
        <v>460004199605165222</v>
      </c>
    </row>
    <row r="5879" customFormat="1" spans="1:15">
      <c r="A5879">
        <v>7500</v>
      </c>
      <c r="B5879" t="s">
        <v>6179</v>
      </c>
      <c r="C5879" t="str">
        <f>"460033199612283288"</f>
        <v>460033199612283288</v>
      </c>
      <c r="L5879">
        <v>7500</v>
      </c>
      <c r="M5879" t="s">
        <v>6179</v>
      </c>
      <c r="O5879" t="str">
        <f>"460033199612283288"</f>
        <v>460033199612283288</v>
      </c>
    </row>
    <row r="5880" customFormat="1" spans="1:15">
      <c r="A5880">
        <v>7502</v>
      </c>
      <c r="B5880" t="s">
        <v>6180</v>
      </c>
      <c r="C5880" t="str">
        <f>"460006200011188724"</f>
        <v>460006200011188724</v>
      </c>
      <c r="L5880">
        <v>7502</v>
      </c>
      <c r="M5880" t="s">
        <v>6180</v>
      </c>
      <c r="O5880" t="str">
        <f>"460006200011188724"</f>
        <v>460006200011188724</v>
      </c>
    </row>
    <row r="5881" customFormat="1" spans="1:15">
      <c r="A5881">
        <v>7503</v>
      </c>
      <c r="B5881" t="s">
        <v>6181</v>
      </c>
      <c r="C5881" t="str">
        <f>"460026200109150025"</f>
        <v>460026200109150025</v>
      </c>
      <c r="D5881" t="str">
        <f>"248030403113"</f>
        <v>248030403113</v>
      </c>
      <c r="L5881">
        <v>7503</v>
      </c>
      <c r="M5881" t="s">
        <v>6181</v>
      </c>
      <c r="N5881" t="str">
        <f>"248030403113"</f>
        <v>248030403113</v>
      </c>
      <c r="O5881" t="str">
        <f>"460026200109150025"</f>
        <v>460026200109150025</v>
      </c>
    </row>
    <row r="5882" customFormat="1" spans="1:15">
      <c r="A5882">
        <v>7505</v>
      </c>
      <c r="B5882" t="s">
        <v>6182</v>
      </c>
      <c r="C5882" t="str">
        <f>"421182200111040028"</f>
        <v>421182200111040028</v>
      </c>
      <c r="L5882">
        <v>7505</v>
      </c>
      <c r="M5882" t="s">
        <v>6182</v>
      </c>
      <c r="O5882" t="str">
        <f>"421182200111040028"</f>
        <v>421182200111040028</v>
      </c>
    </row>
    <row r="5883" customFormat="1" spans="1:15">
      <c r="A5883">
        <v>7506</v>
      </c>
      <c r="B5883" t="s">
        <v>6183</v>
      </c>
      <c r="C5883" t="str">
        <f>"231026198406052323"</f>
        <v>231026198406052323</v>
      </c>
      <c r="D5883" t="str">
        <f>"248030501123"</f>
        <v>248030501123</v>
      </c>
      <c r="L5883">
        <v>7506</v>
      </c>
      <c r="M5883" t="s">
        <v>6183</v>
      </c>
      <c r="N5883" t="str">
        <f>"248030501123"</f>
        <v>248030501123</v>
      </c>
      <c r="O5883" t="str">
        <f>"231026198406052323"</f>
        <v>231026198406052323</v>
      </c>
    </row>
    <row r="5884" customFormat="1" spans="1:15">
      <c r="A5884">
        <v>7507</v>
      </c>
      <c r="B5884" t="s">
        <v>6184</v>
      </c>
      <c r="C5884" t="str">
        <f>"445381199611022164"</f>
        <v>445381199611022164</v>
      </c>
      <c r="D5884" t="str">
        <f>"248030200229"</f>
        <v>248030200229</v>
      </c>
      <c r="L5884">
        <v>7507</v>
      </c>
      <c r="M5884" t="s">
        <v>6184</v>
      </c>
      <c r="N5884" t="str">
        <f>"248030200229"</f>
        <v>248030200229</v>
      </c>
      <c r="O5884" t="str">
        <f>"445381199611022164"</f>
        <v>445381199611022164</v>
      </c>
    </row>
    <row r="5885" customFormat="1" spans="1:15">
      <c r="A5885">
        <v>7508</v>
      </c>
      <c r="B5885" t="s">
        <v>6185</v>
      </c>
      <c r="C5885" t="str">
        <f>"460200199502150285"</f>
        <v>460200199502150285</v>
      </c>
      <c r="D5885" t="str">
        <f>"248030300228"</f>
        <v>248030300228</v>
      </c>
      <c r="L5885">
        <v>7508</v>
      </c>
      <c r="M5885" t="s">
        <v>6185</v>
      </c>
      <c r="N5885" t="str">
        <f>"248030300228"</f>
        <v>248030300228</v>
      </c>
      <c r="O5885" t="str">
        <f>"460200199502150285"</f>
        <v>460200199502150285</v>
      </c>
    </row>
    <row r="5886" customFormat="1" spans="1:15">
      <c r="A5886">
        <v>7509</v>
      </c>
      <c r="B5886" t="s">
        <v>6186</v>
      </c>
      <c r="C5886" t="str">
        <f>"460006199507091648"</f>
        <v>460006199507091648</v>
      </c>
      <c r="D5886" t="str">
        <f>"248030100709"</f>
        <v>248030100709</v>
      </c>
      <c r="L5886">
        <v>7509</v>
      </c>
      <c r="M5886" t="s">
        <v>6186</v>
      </c>
      <c r="N5886" t="str">
        <f>"248030100709"</f>
        <v>248030100709</v>
      </c>
      <c r="O5886" t="str">
        <f>"460006199507091648"</f>
        <v>460006199507091648</v>
      </c>
    </row>
    <row r="5887" customFormat="1" spans="1:15">
      <c r="A5887">
        <v>7510</v>
      </c>
      <c r="B5887" t="s">
        <v>6187</v>
      </c>
      <c r="C5887" t="str">
        <f>"46902720000804448X"</f>
        <v>46902720000804448X</v>
      </c>
      <c r="D5887" t="str">
        <f>"248030503620"</f>
        <v>248030503620</v>
      </c>
      <c r="L5887">
        <v>7510</v>
      </c>
      <c r="M5887" t="s">
        <v>6187</v>
      </c>
      <c r="N5887" t="str">
        <f>"248030503620"</f>
        <v>248030503620</v>
      </c>
      <c r="O5887" t="str">
        <f>"46902720000804448X"</f>
        <v>46902720000804448X</v>
      </c>
    </row>
    <row r="5888" customFormat="1" spans="1:15">
      <c r="A5888">
        <v>7511</v>
      </c>
      <c r="B5888" t="s">
        <v>6188</v>
      </c>
      <c r="C5888" t="str">
        <f>"460033200105213248"</f>
        <v>460033200105213248</v>
      </c>
      <c r="D5888" t="str">
        <f>"248030302508"</f>
        <v>248030302508</v>
      </c>
      <c r="L5888">
        <v>7511</v>
      </c>
      <c r="M5888" t="s">
        <v>6188</v>
      </c>
      <c r="N5888" t="str">
        <f>"248030302508"</f>
        <v>248030302508</v>
      </c>
      <c r="O5888" t="str">
        <f>"460033200105213248"</f>
        <v>460033200105213248</v>
      </c>
    </row>
    <row r="5889" customFormat="1" spans="1:15">
      <c r="A5889">
        <v>7512</v>
      </c>
      <c r="B5889" t="s">
        <v>6189</v>
      </c>
      <c r="C5889" t="str">
        <f>"469003199507270928"</f>
        <v>469003199507270928</v>
      </c>
      <c r="D5889" t="str">
        <f>"248030404029"</f>
        <v>248030404029</v>
      </c>
      <c r="L5889">
        <v>7512</v>
      </c>
      <c r="M5889" t="s">
        <v>6189</v>
      </c>
      <c r="N5889" t="str">
        <f>"248030404029"</f>
        <v>248030404029</v>
      </c>
      <c r="O5889" t="str">
        <f>"469003199507270928"</f>
        <v>469003199507270928</v>
      </c>
    </row>
    <row r="5890" customFormat="1" spans="1:15">
      <c r="A5890">
        <v>7513</v>
      </c>
      <c r="B5890" t="s">
        <v>6190</v>
      </c>
      <c r="C5890" t="str">
        <f>"411302200203090222"</f>
        <v>411302200203090222</v>
      </c>
      <c r="D5890" t="str">
        <f>"248030301512"</f>
        <v>248030301512</v>
      </c>
      <c r="L5890">
        <v>7513</v>
      </c>
      <c r="M5890" t="s">
        <v>6190</v>
      </c>
      <c r="N5890" t="str">
        <f>"248030301512"</f>
        <v>248030301512</v>
      </c>
      <c r="O5890" t="str">
        <f>"411302200203090222"</f>
        <v>411302200203090222</v>
      </c>
    </row>
    <row r="5891" customFormat="1" spans="1:15">
      <c r="A5891">
        <v>7514</v>
      </c>
      <c r="B5891" t="s">
        <v>6191</v>
      </c>
      <c r="C5891" t="str">
        <f>"440204199310073627"</f>
        <v>440204199310073627</v>
      </c>
      <c r="D5891" t="str">
        <f>"248030102026"</f>
        <v>248030102026</v>
      </c>
      <c r="L5891">
        <v>7514</v>
      </c>
      <c r="M5891" t="s">
        <v>6191</v>
      </c>
      <c r="N5891" t="str">
        <f>"248030102026"</f>
        <v>248030102026</v>
      </c>
      <c r="O5891" t="str">
        <f>"440204199310073627"</f>
        <v>440204199310073627</v>
      </c>
    </row>
    <row r="5892" customFormat="1" spans="1:15">
      <c r="A5892">
        <v>7515</v>
      </c>
      <c r="B5892" t="s">
        <v>4966</v>
      </c>
      <c r="C5892" t="str">
        <f>"460007199909134360"</f>
        <v>460007199909134360</v>
      </c>
      <c r="D5892" t="str">
        <f>"248030101430"</f>
        <v>248030101430</v>
      </c>
      <c r="L5892">
        <v>7515</v>
      </c>
      <c r="M5892" t="s">
        <v>4966</v>
      </c>
      <c r="N5892" t="str">
        <f>"248030101430"</f>
        <v>248030101430</v>
      </c>
      <c r="O5892" t="str">
        <f>"460007199909134360"</f>
        <v>460007199909134360</v>
      </c>
    </row>
    <row r="5893" customFormat="1" spans="1:15">
      <c r="A5893">
        <v>7516</v>
      </c>
      <c r="B5893" t="s">
        <v>6192</v>
      </c>
      <c r="C5893" t="str">
        <f>"460031200006270041"</f>
        <v>460031200006270041</v>
      </c>
      <c r="D5893" t="str">
        <f>"248030202719"</f>
        <v>248030202719</v>
      </c>
      <c r="L5893">
        <v>7516</v>
      </c>
      <c r="M5893" t="s">
        <v>6192</v>
      </c>
      <c r="N5893" t="str">
        <f>"248030202719"</f>
        <v>248030202719</v>
      </c>
      <c r="O5893" t="str">
        <f>"460031200006270041"</f>
        <v>460031200006270041</v>
      </c>
    </row>
    <row r="5894" customFormat="1" spans="1:15">
      <c r="A5894">
        <v>7518</v>
      </c>
      <c r="B5894" t="s">
        <v>6193</v>
      </c>
      <c r="C5894" t="str">
        <f>"430502200008220523"</f>
        <v>430502200008220523</v>
      </c>
      <c r="D5894" t="str">
        <f>"248030203006"</f>
        <v>248030203006</v>
      </c>
      <c r="L5894">
        <v>7518</v>
      </c>
      <c r="M5894" t="s">
        <v>6193</v>
      </c>
      <c r="N5894" t="str">
        <f>"248030203006"</f>
        <v>248030203006</v>
      </c>
      <c r="O5894" t="str">
        <f>"430502200008220523"</f>
        <v>430502200008220523</v>
      </c>
    </row>
    <row r="5895" customFormat="1" spans="1:15">
      <c r="A5895">
        <v>7519</v>
      </c>
      <c r="B5895" t="s">
        <v>6194</v>
      </c>
      <c r="C5895" t="str">
        <f>"220502199203310829"</f>
        <v>220502199203310829</v>
      </c>
      <c r="D5895" t="str">
        <f>"248030400316"</f>
        <v>248030400316</v>
      </c>
      <c r="L5895">
        <v>7519</v>
      </c>
      <c r="M5895" t="s">
        <v>6194</v>
      </c>
      <c r="N5895" t="str">
        <f>"248030400316"</f>
        <v>248030400316</v>
      </c>
      <c r="O5895" t="str">
        <f>"220502199203310829"</f>
        <v>220502199203310829</v>
      </c>
    </row>
    <row r="5896" customFormat="1" spans="1:15">
      <c r="A5896">
        <v>7521</v>
      </c>
      <c r="B5896" t="s">
        <v>6195</v>
      </c>
      <c r="C5896" t="str">
        <f>"460028200005202428"</f>
        <v>460028200005202428</v>
      </c>
      <c r="L5896">
        <v>7521</v>
      </c>
      <c r="M5896" t="s">
        <v>6195</v>
      </c>
      <c r="O5896" t="str">
        <f>"460028200005202428"</f>
        <v>460028200005202428</v>
      </c>
    </row>
    <row r="5897" customFormat="1" spans="1:15">
      <c r="A5897">
        <v>7522</v>
      </c>
      <c r="B5897" t="s">
        <v>6196</v>
      </c>
      <c r="C5897" t="str">
        <f>"460002199107104619"</f>
        <v>460002199107104619</v>
      </c>
      <c r="L5897">
        <v>7522</v>
      </c>
      <c r="M5897" t="s">
        <v>6196</v>
      </c>
      <c r="O5897" t="str">
        <f>"460002199107104619"</f>
        <v>460002199107104619</v>
      </c>
    </row>
    <row r="5898" customFormat="1" spans="1:15">
      <c r="A5898">
        <v>7523</v>
      </c>
      <c r="B5898" t="s">
        <v>6197</v>
      </c>
      <c r="C5898" t="str">
        <f>"460036199711194845"</f>
        <v>460036199711194845</v>
      </c>
      <c r="D5898" t="str">
        <f>"248030502422"</f>
        <v>248030502422</v>
      </c>
      <c r="L5898">
        <v>7523</v>
      </c>
      <c r="M5898" t="s">
        <v>6197</v>
      </c>
      <c r="N5898" t="str">
        <f>"248030502422"</f>
        <v>248030502422</v>
      </c>
      <c r="O5898" t="str">
        <f>"460036199711194845"</f>
        <v>460036199711194845</v>
      </c>
    </row>
    <row r="5899" customFormat="1" spans="1:15">
      <c r="A5899">
        <v>7525</v>
      </c>
      <c r="B5899" t="s">
        <v>6198</v>
      </c>
      <c r="C5899" t="str">
        <f>"460007199711025847"</f>
        <v>460007199711025847</v>
      </c>
      <c r="D5899" t="str">
        <f>"248030103012"</f>
        <v>248030103012</v>
      </c>
      <c r="L5899">
        <v>7525</v>
      </c>
      <c r="M5899" t="s">
        <v>6198</v>
      </c>
      <c r="N5899" t="str">
        <f>"248030103012"</f>
        <v>248030103012</v>
      </c>
      <c r="O5899" t="str">
        <f>"460007199711025847"</f>
        <v>460007199711025847</v>
      </c>
    </row>
    <row r="5900" customFormat="1" spans="1:15">
      <c r="A5900">
        <v>7526</v>
      </c>
      <c r="B5900" t="s">
        <v>6199</v>
      </c>
      <c r="C5900" t="str">
        <f>"460006199804022323"</f>
        <v>460006199804022323</v>
      </c>
      <c r="D5900" t="str">
        <f>"248030302510"</f>
        <v>248030302510</v>
      </c>
      <c r="L5900">
        <v>7526</v>
      </c>
      <c r="M5900" t="s">
        <v>6199</v>
      </c>
      <c r="N5900" t="str">
        <f>"248030302510"</f>
        <v>248030302510</v>
      </c>
      <c r="O5900" t="str">
        <f>"460006199804022323"</f>
        <v>460006199804022323</v>
      </c>
    </row>
    <row r="5901" customFormat="1" spans="1:15">
      <c r="A5901">
        <v>7527</v>
      </c>
      <c r="B5901" t="s">
        <v>222</v>
      </c>
      <c r="C5901" t="str">
        <f>"460006199807268126"</f>
        <v>460006199807268126</v>
      </c>
      <c r="D5901" t="str">
        <f>"248030203922"</f>
        <v>248030203922</v>
      </c>
      <c r="L5901">
        <v>7527</v>
      </c>
      <c r="M5901" t="s">
        <v>222</v>
      </c>
      <c r="N5901" t="str">
        <f>"248030203922"</f>
        <v>248030203922</v>
      </c>
      <c r="O5901" t="str">
        <f>"460006199807268126"</f>
        <v>460006199807268126</v>
      </c>
    </row>
    <row r="5902" customFormat="1" spans="1:15">
      <c r="A5902">
        <v>7528</v>
      </c>
      <c r="B5902" t="s">
        <v>6200</v>
      </c>
      <c r="C5902" t="str">
        <f>"46000619920824312X"</f>
        <v>46000619920824312X</v>
      </c>
      <c r="D5902" t="str">
        <f>"248030403720"</f>
        <v>248030403720</v>
      </c>
      <c r="L5902">
        <v>7528</v>
      </c>
      <c r="M5902" t="s">
        <v>6200</v>
      </c>
      <c r="N5902" t="str">
        <f>"248030403720"</f>
        <v>248030403720</v>
      </c>
      <c r="O5902" t="str">
        <f>"46000619920824312X"</f>
        <v>46000619920824312X</v>
      </c>
    </row>
    <row r="5903" customFormat="1" spans="1:15">
      <c r="A5903">
        <v>7529</v>
      </c>
      <c r="B5903" t="s">
        <v>6201</v>
      </c>
      <c r="C5903" t="str">
        <f>"412721199811053421"</f>
        <v>412721199811053421</v>
      </c>
      <c r="D5903" t="str">
        <f>"248030104716"</f>
        <v>248030104716</v>
      </c>
      <c r="L5903">
        <v>7529</v>
      </c>
      <c r="M5903" t="s">
        <v>6201</v>
      </c>
      <c r="N5903" t="str">
        <f>"248030104716"</f>
        <v>248030104716</v>
      </c>
      <c r="O5903" t="str">
        <f>"412721199811053421"</f>
        <v>412721199811053421</v>
      </c>
    </row>
    <row r="5904" customFormat="1" spans="1:15">
      <c r="A5904">
        <v>7530</v>
      </c>
      <c r="B5904" t="s">
        <v>33</v>
      </c>
      <c r="C5904" t="str">
        <f>"500222199805096918"</f>
        <v>500222199805096918</v>
      </c>
      <c r="D5904" t="str">
        <f>"248030203905"</f>
        <v>248030203905</v>
      </c>
      <c r="L5904">
        <v>7530</v>
      </c>
      <c r="M5904" t="s">
        <v>33</v>
      </c>
      <c r="N5904" t="str">
        <f>"248030203905"</f>
        <v>248030203905</v>
      </c>
      <c r="O5904" t="str">
        <f>"500222199805096918"</f>
        <v>500222199805096918</v>
      </c>
    </row>
    <row r="5905" customFormat="1" spans="1:15">
      <c r="A5905">
        <v>7531</v>
      </c>
      <c r="B5905" t="s">
        <v>6202</v>
      </c>
      <c r="C5905" t="str">
        <f>"522225199312113243"</f>
        <v>522225199312113243</v>
      </c>
      <c r="D5905" t="str">
        <f>"248030503402"</f>
        <v>248030503402</v>
      </c>
      <c r="L5905">
        <v>7531</v>
      </c>
      <c r="M5905" t="s">
        <v>6202</v>
      </c>
      <c r="N5905" t="str">
        <f>"248030503402"</f>
        <v>248030503402</v>
      </c>
      <c r="O5905" t="str">
        <f>"522225199312113243"</f>
        <v>522225199312113243</v>
      </c>
    </row>
    <row r="5906" customFormat="1" spans="1:15">
      <c r="A5906">
        <v>7532</v>
      </c>
      <c r="B5906" t="s">
        <v>6203</v>
      </c>
      <c r="C5906" t="str">
        <f>"460028199003140969"</f>
        <v>460028199003140969</v>
      </c>
      <c r="D5906" t="str">
        <f>"248030104510"</f>
        <v>248030104510</v>
      </c>
      <c r="L5906">
        <v>7532</v>
      </c>
      <c r="M5906" t="s">
        <v>6203</v>
      </c>
      <c r="N5906" t="str">
        <f>"248030104510"</f>
        <v>248030104510</v>
      </c>
      <c r="O5906" t="str">
        <f>"460028199003140969"</f>
        <v>460028199003140969</v>
      </c>
    </row>
    <row r="5907" customFormat="1" spans="1:15">
      <c r="A5907">
        <v>7533</v>
      </c>
      <c r="B5907" t="s">
        <v>6204</v>
      </c>
      <c r="C5907" t="str">
        <f>"460003199302187620"</f>
        <v>460003199302187620</v>
      </c>
      <c r="D5907" t="str">
        <f>"248030403620"</f>
        <v>248030403620</v>
      </c>
      <c r="L5907">
        <v>7533</v>
      </c>
      <c r="M5907" t="s">
        <v>6204</v>
      </c>
      <c r="N5907" t="str">
        <f>"248030403620"</f>
        <v>248030403620</v>
      </c>
      <c r="O5907" t="str">
        <f>"460003199302187620"</f>
        <v>460003199302187620</v>
      </c>
    </row>
    <row r="5908" customFormat="1" spans="1:15">
      <c r="A5908">
        <v>7534</v>
      </c>
      <c r="B5908" t="s">
        <v>6205</v>
      </c>
      <c r="C5908" t="str">
        <f>"460006200102062326"</f>
        <v>460006200102062326</v>
      </c>
      <c r="D5908" t="str">
        <f>"248030300630"</f>
        <v>248030300630</v>
      </c>
      <c r="L5908">
        <v>7534</v>
      </c>
      <c r="M5908" t="s">
        <v>6205</v>
      </c>
      <c r="N5908" t="str">
        <f>"248030300630"</f>
        <v>248030300630</v>
      </c>
      <c r="O5908" t="str">
        <f>"460006200102062326"</f>
        <v>460006200102062326</v>
      </c>
    </row>
    <row r="5909" customFormat="1" spans="1:15">
      <c r="A5909">
        <v>7535</v>
      </c>
      <c r="B5909" t="s">
        <v>6206</v>
      </c>
      <c r="C5909" t="str">
        <f>"460026200105032435"</f>
        <v>460026200105032435</v>
      </c>
      <c r="D5909" t="str">
        <f>"248030402214"</f>
        <v>248030402214</v>
      </c>
      <c r="L5909">
        <v>7535</v>
      </c>
      <c r="M5909" t="s">
        <v>6206</v>
      </c>
      <c r="N5909" t="str">
        <f>"248030402214"</f>
        <v>248030402214</v>
      </c>
      <c r="O5909" t="str">
        <f>"460026200105032435"</f>
        <v>460026200105032435</v>
      </c>
    </row>
    <row r="5910" customFormat="1" spans="1:15">
      <c r="A5910">
        <v>7536</v>
      </c>
      <c r="B5910" t="s">
        <v>6207</v>
      </c>
      <c r="C5910" t="str">
        <f>"469007199808295761"</f>
        <v>469007199808295761</v>
      </c>
      <c r="L5910">
        <v>7536</v>
      </c>
      <c r="M5910" t="s">
        <v>6207</v>
      </c>
      <c r="O5910" t="str">
        <f>"469007199808295761"</f>
        <v>469007199808295761</v>
      </c>
    </row>
    <row r="5911" customFormat="1" spans="1:15">
      <c r="A5911">
        <v>7537</v>
      </c>
      <c r="B5911" t="s">
        <v>6208</v>
      </c>
      <c r="C5911" t="str">
        <f>"460033199306223228"</f>
        <v>460033199306223228</v>
      </c>
      <c r="D5911" t="str">
        <f>"248030401409"</f>
        <v>248030401409</v>
      </c>
      <c r="L5911">
        <v>7537</v>
      </c>
      <c r="M5911" t="s">
        <v>6208</v>
      </c>
      <c r="N5911" t="str">
        <f>"248030401409"</f>
        <v>248030401409</v>
      </c>
      <c r="O5911" t="str">
        <f>"460033199306223228"</f>
        <v>460033199306223228</v>
      </c>
    </row>
    <row r="5912" customFormat="1" spans="1:15">
      <c r="A5912">
        <v>7538</v>
      </c>
      <c r="B5912" t="s">
        <v>6209</v>
      </c>
      <c r="C5912" t="str">
        <f>"460006199511151500"</f>
        <v>460006199511151500</v>
      </c>
      <c r="D5912" t="str">
        <f>"248030401310"</f>
        <v>248030401310</v>
      </c>
      <c r="L5912">
        <v>7538</v>
      </c>
      <c r="M5912" t="s">
        <v>6209</v>
      </c>
      <c r="N5912" t="str">
        <f>"248030401310"</f>
        <v>248030401310</v>
      </c>
      <c r="O5912" t="str">
        <f>"460006199511151500"</f>
        <v>460006199511151500</v>
      </c>
    </row>
    <row r="5913" customFormat="1" spans="1:15">
      <c r="A5913">
        <v>7539</v>
      </c>
      <c r="B5913" t="s">
        <v>6210</v>
      </c>
      <c r="C5913" t="str">
        <f>"46002819830810442X"</f>
        <v>46002819830810442X</v>
      </c>
      <c r="L5913">
        <v>7539</v>
      </c>
      <c r="M5913" t="s">
        <v>6210</v>
      </c>
      <c r="O5913" t="str">
        <f>"46002819830810442X"</f>
        <v>46002819830810442X</v>
      </c>
    </row>
    <row r="5914" customFormat="1" spans="1:15">
      <c r="A5914">
        <v>7540</v>
      </c>
      <c r="B5914" t="s">
        <v>6211</v>
      </c>
      <c r="C5914" t="str">
        <f>"460105199810067535"</f>
        <v>460105199810067535</v>
      </c>
      <c r="L5914">
        <v>7540</v>
      </c>
      <c r="M5914" t="s">
        <v>6211</v>
      </c>
      <c r="O5914" t="str">
        <f>"460105199810067535"</f>
        <v>460105199810067535</v>
      </c>
    </row>
    <row r="5915" customFormat="1" spans="1:15">
      <c r="A5915">
        <v>7542</v>
      </c>
      <c r="B5915" t="s">
        <v>6212</v>
      </c>
      <c r="C5915" t="str">
        <f>"469023199711301360"</f>
        <v>469023199711301360</v>
      </c>
      <c r="D5915" t="str">
        <f>"248030403610"</f>
        <v>248030403610</v>
      </c>
      <c r="L5915">
        <v>7542</v>
      </c>
      <c r="M5915" t="s">
        <v>6212</v>
      </c>
      <c r="N5915" t="str">
        <f>"248030403610"</f>
        <v>248030403610</v>
      </c>
      <c r="O5915" t="str">
        <f>"469023199711301360"</f>
        <v>469023199711301360</v>
      </c>
    </row>
    <row r="5916" customFormat="1" spans="1:15">
      <c r="A5916">
        <v>7544</v>
      </c>
      <c r="B5916" t="s">
        <v>6213</v>
      </c>
      <c r="C5916" t="str">
        <f>"460004198904223643"</f>
        <v>460004198904223643</v>
      </c>
      <c r="D5916" t="str">
        <f>"248030102215"</f>
        <v>248030102215</v>
      </c>
      <c r="L5916">
        <v>7544</v>
      </c>
      <c r="M5916" t="s">
        <v>6213</v>
      </c>
      <c r="N5916" t="str">
        <f>"248030102215"</f>
        <v>248030102215</v>
      </c>
      <c r="O5916" t="str">
        <f>"460004198904223643"</f>
        <v>460004198904223643</v>
      </c>
    </row>
    <row r="5917" customFormat="1" spans="1:15">
      <c r="A5917">
        <v>7545</v>
      </c>
      <c r="B5917" t="s">
        <v>6214</v>
      </c>
      <c r="C5917" t="str">
        <f>"460004199610183441"</f>
        <v>460004199610183441</v>
      </c>
      <c r="D5917" t="str">
        <f>"248030401910"</f>
        <v>248030401910</v>
      </c>
      <c r="L5917">
        <v>7545</v>
      </c>
      <c r="M5917" t="s">
        <v>6214</v>
      </c>
      <c r="N5917" t="str">
        <f>"248030401910"</f>
        <v>248030401910</v>
      </c>
      <c r="O5917" t="str">
        <f>"460004199610183441"</f>
        <v>460004199610183441</v>
      </c>
    </row>
    <row r="5918" customFormat="1" spans="1:15">
      <c r="A5918">
        <v>7546</v>
      </c>
      <c r="B5918" t="s">
        <v>6215</v>
      </c>
      <c r="C5918" t="str">
        <f>"460033200203313883"</f>
        <v>460033200203313883</v>
      </c>
      <c r="L5918">
        <v>7546</v>
      </c>
      <c r="M5918" t="s">
        <v>6215</v>
      </c>
      <c r="O5918" t="str">
        <f>"460033200203313883"</f>
        <v>460033200203313883</v>
      </c>
    </row>
    <row r="5919" customFormat="1" spans="1:15">
      <c r="A5919">
        <v>7547</v>
      </c>
      <c r="B5919" t="s">
        <v>6216</v>
      </c>
      <c r="C5919" t="str">
        <f>"460102199610080621"</f>
        <v>460102199610080621</v>
      </c>
      <c r="L5919">
        <v>7547</v>
      </c>
      <c r="M5919" t="s">
        <v>6216</v>
      </c>
      <c r="O5919" t="str">
        <f>"460102199610080621"</f>
        <v>460102199610080621</v>
      </c>
    </row>
    <row r="5920" customFormat="1" spans="1:15">
      <c r="A5920">
        <v>7548</v>
      </c>
      <c r="B5920" t="s">
        <v>6217</v>
      </c>
      <c r="C5920" t="str">
        <f>"131181199302210025"</f>
        <v>131181199302210025</v>
      </c>
      <c r="L5920">
        <v>7548</v>
      </c>
      <c r="M5920" t="s">
        <v>6217</v>
      </c>
      <c r="O5920" t="str">
        <f>"131181199302210025"</f>
        <v>131181199302210025</v>
      </c>
    </row>
    <row r="5921" customFormat="1" spans="1:15">
      <c r="A5921">
        <v>7549</v>
      </c>
      <c r="B5921" t="s">
        <v>6218</v>
      </c>
      <c r="C5921" t="str">
        <f>"460004199203171240"</f>
        <v>460004199203171240</v>
      </c>
      <c r="D5921" t="str">
        <f>"248030400516"</f>
        <v>248030400516</v>
      </c>
      <c r="L5921">
        <v>7549</v>
      </c>
      <c r="M5921" t="s">
        <v>6218</v>
      </c>
      <c r="N5921" t="str">
        <f>"248030400516"</f>
        <v>248030400516</v>
      </c>
      <c r="O5921" t="str">
        <f>"460004199203171240"</f>
        <v>460004199203171240</v>
      </c>
    </row>
    <row r="5922" customFormat="1" spans="1:15">
      <c r="A5922">
        <v>7551</v>
      </c>
      <c r="B5922" t="s">
        <v>6219</v>
      </c>
      <c r="C5922" t="str">
        <f>"411481198904280126"</f>
        <v>411481198904280126</v>
      </c>
      <c r="D5922" t="str">
        <f>"248030203407"</f>
        <v>248030203407</v>
      </c>
      <c r="L5922">
        <v>7551</v>
      </c>
      <c r="M5922" t="s">
        <v>6219</v>
      </c>
      <c r="N5922" t="str">
        <f>"248030203407"</f>
        <v>248030203407</v>
      </c>
      <c r="O5922" t="str">
        <f>"411481198904280126"</f>
        <v>411481198904280126</v>
      </c>
    </row>
    <row r="5923" customFormat="1" spans="1:15">
      <c r="A5923">
        <v>7552</v>
      </c>
      <c r="B5923" t="s">
        <v>6220</v>
      </c>
      <c r="C5923" t="str">
        <f>"46002719920725622X"</f>
        <v>46002719920725622X</v>
      </c>
      <c r="L5923">
        <v>7552</v>
      </c>
      <c r="M5923" t="s">
        <v>6220</v>
      </c>
      <c r="O5923" t="str">
        <f>"46002719920725622X"</f>
        <v>46002719920725622X</v>
      </c>
    </row>
    <row r="5924" customFormat="1" spans="1:15">
      <c r="A5924">
        <v>7555</v>
      </c>
      <c r="B5924" t="s">
        <v>6221</v>
      </c>
      <c r="C5924" t="str">
        <f>"460007200203225362"</f>
        <v>460007200203225362</v>
      </c>
      <c r="D5924" t="str">
        <f>"248030500617"</f>
        <v>248030500617</v>
      </c>
      <c r="L5924">
        <v>7555</v>
      </c>
      <c r="M5924" t="s">
        <v>6221</v>
      </c>
      <c r="N5924" t="str">
        <f>"248030500617"</f>
        <v>248030500617</v>
      </c>
      <c r="O5924" t="str">
        <f>"460007200203225362"</f>
        <v>460007200203225362</v>
      </c>
    </row>
    <row r="5925" customFormat="1" spans="1:15">
      <c r="A5925">
        <v>7557</v>
      </c>
      <c r="B5925" t="s">
        <v>6222</v>
      </c>
      <c r="C5925" t="str">
        <f>"460004199707095026"</f>
        <v>460004199707095026</v>
      </c>
      <c r="D5925" t="str">
        <f>"248030401612"</f>
        <v>248030401612</v>
      </c>
      <c r="L5925">
        <v>7557</v>
      </c>
      <c r="M5925" t="s">
        <v>6222</v>
      </c>
      <c r="N5925" t="str">
        <f>"248030401612"</f>
        <v>248030401612</v>
      </c>
      <c r="O5925" t="str">
        <f>"460004199707095026"</f>
        <v>460004199707095026</v>
      </c>
    </row>
    <row r="5926" customFormat="1" spans="1:15">
      <c r="A5926">
        <v>7558</v>
      </c>
      <c r="B5926" t="s">
        <v>6223</v>
      </c>
      <c r="C5926" t="str">
        <f>"460004199607250420"</f>
        <v>460004199607250420</v>
      </c>
      <c r="D5926" t="str">
        <f>"248030100426"</f>
        <v>248030100426</v>
      </c>
      <c r="L5926">
        <v>7558</v>
      </c>
      <c r="M5926" t="s">
        <v>6223</v>
      </c>
      <c r="N5926" t="str">
        <f>"248030100426"</f>
        <v>248030100426</v>
      </c>
      <c r="O5926" t="str">
        <f>"460004199607250420"</f>
        <v>460004199607250420</v>
      </c>
    </row>
    <row r="5927" customFormat="1" spans="1:15">
      <c r="A5927">
        <v>7559</v>
      </c>
      <c r="B5927" t="s">
        <v>6224</v>
      </c>
      <c r="C5927" t="str">
        <f>"52272519991025713X"</f>
        <v>52272519991025713X</v>
      </c>
      <c r="D5927" t="str">
        <f>"248030402515"</f>
        <v>248030402515</v>
      </c>
      <c r="L5927">
        <v>7559</v>
      </c>
      <c r="M5927" t="s">
        <v>6224</v>
      </c>
      <c r="N5927" t="str">
        <f>"248030402515"</f>
        <v>248030402515</v>
      </c>
      <c r="O5927" t="str">
        <f>"52272519991025713X"</f>
        <v>52272519991025713X</v>
      </c>
    </row>
    <row r="5928" customFormat="1" spans="1:15">
      <c r="A5928">
        <v>7560</v>
      </c>
      <c r="B5928" t="s">
        <v>6225</v>
      </c>
      <c r="C5928" t="str">
        <f>"43010220010904052X"</f>
        <v>43010220010904052X</v>
      </c>
      <c r="L5928">
        <v>7560</v>
      </c>
      <c r="M5928" t="s">
        <v>6225</v>
      </c>
      <c r="O5928" t="str">
        <f>"43010220010904052X"</f>
        <v>43010220010904052X</v>
      </c>
    </row>
    <row r="5929" customFormat="1" spans="1:15">
      <c r="A5929">
        <v>7561</v>
      </c>
      <c r="B5929" t="s">
        <v>6226</v>
      </c>
      <c r="C5929" t="str">
        <f>"460003199408057648"</f>
        <v>460003199408057648</v>
      </c>
      <c r="D5929" t="str">
        <f>"248030402402"</f>
        <v>248030402402</v>
      </c>
      <c r="L5929">
        <v>7561</v>
      </c>
      <c r="M5929" t="s">
        <v>6226</v>
      </c>
      <c r="N5929" t="str">
        <f>"248030402402"</f>
        <v>248030402402</v>
      </c>
      <c r="O5929" t="str">
        <f>"460003199408057648"</f>
        <v>460003199408057648</v>
      </c>
    </row>
    <row r="5930" customFormat="1" spans="1:15">
      <c r="A5930">
        <v>7562</v>
      </c>
      <c r="B5930" t="s">
        <v>6227</v>
      </c>
      <c r="C5930" t="str">
        <f>"469023199802231329"</f>
        <v>469023199802231329</v>
      </c>
      <c r="D5930" t="str">
        <f>"248030201418"</f>
        <v>248030201418</v>
      </c>
      <c r="L5930">
        <v>7562</v>
      </c>
      <c r="M5930" t="s">
        <v>6227</v>
      </c>
      <c r="N5930" t="str">
        <f>"248030201418"</f>
        <v>248030201418</v>
      </c>
      <c r="O5930" t="str">
        <f>"469023199802231329"</f>
        <v>469023199802231329</v>
      </c>
    </row>
    <row r="5931" customFormat="1" spans="1:15">
      <c r="A5931">
        <v>7563</v>
      </c>
      <c r="B5931" t="s">
        <v>6228</v>
      </c>
      <c r="C5931" t="str">
        <f>"460004199210200062"</f>
        <v>460004199210200062</v>
      </c>
      <c r="D5931" t="str">
        <f>"248030101407"</f>
        <v>248030101407</v>
      </c>
      <c r="L5931">
        <v>7563</v>
      </c>
      <c r="M5931" t="s">
        <v>6228</v>
      </c>
      <c r="N5931" t="str">
        <f>"248030101407"</f>
        <v>248030101407</v>
      </c>
      <c r="O5931" t="str">
        <f>"460004199210200062"</f>
        <v>460004199210200062</v>
      </c>
    </row>
    <row r="5932" customFormat="1" spans="1:15">
      <c r="A5932">
        <v>7565</v>
      </c>
      <c r="B5932" t="s">
        <v>6229</v>
      </c>
      <c r="C5932" t="str">
        <f>"460002199510234122"</f>
        <v>460002199510234122</v>
      </c>
      <c r="D5932" t="str">
        <f>"248030103818"</f>
        <v>248030103818</v>
      </c>
      <c r="L5932">
        <v>7565</v>
      </c>
      <c r="M5932" t="s">
        <v>6229</v>
      </c>
      <c r="N5932" t="str">
        <f>"248030103818"</f>
        <v>248030103818</v>
      </c>
      <c r="O5932" t="str">
        <f>"460002199510234122"</f>
        <v>460002199510234122</v>
      </c>
    </row>
    <row r="5933" customFormat="1" spans="1:15">
      <c r="A5933">
        <v>7566</v>
      </c>
      <c r="B5933" t="s">
        <v>6230</v>
      </c>
      <c r="C5933" t="str">
        <f>"460033198608074489"</f>
        <v>460033198608074489</v>
      </c>
      <c r="L5933">
        <v>7566</v>
      </c>
      <c r="M5933" t="s">
        <v>6230</v>
      </c>
      <c r="O5933" t="str">
        <f>"460033198608074489"</f>
        <v>460033198608074489</v>
      </c>
    </row>
    <row r="5934" customFormat="1" spans="1:15">
      <c r="A5934">
        <v>7567</v>
      </c>
      <c r="B5934" t="s">
        <v>6231</v>
      </c>
      <c r="C5934" t="str">
        <f>"46002719890714040X"</f>
        <v>46002719890714040X</v>
      </c>
      <c r="D5934" t="str">
        <f>"248030502014"</f>
        <v>248030502014</v>
      </c>
      <c r="L5934">
        <v>7567</v>
      </c>
      <c r="M5934" t="s">
        <v>6231</v>
      </c>
      <c r="N5934" t="str">
        <f>"248030502014"</f>
        <v>248030502014</v>
      </c>
      <c r="O5934" t="str">
        <f>"46002719890714040X"</f>
        <v>46002719890714040X</v>
      </c>
    </row>
    <row r="5935" customFormat="1" spans="1:15">
      <c r="A5935">
        <v>7568</v>
      </c>
      <c r="B5935" t="s">
        <v>1750</v>
      </c>
      <c r="C5935" t="str">
        <f>"469024200210176022"</f>
        <v>469024200210176022</v>
      </c>
      <c r="D5935" t="str">
        <f>"248030402204"</f>
        <v>248030402204</v>
      </c>
      <c r="L5935">
        <v>7568</v>
      </c>
      <c r="M5935" t="s">
        <v>1750</v>
      </c>
      <c r="N5935" t="str">
        <f>"248030402204"</f>
        <v>248030402204</v>
      </c>
      <c r="O5935" t="str">
        <f>"469024200210176022"</f>
        <v>469024200210176022</v>
      </c>
    </row>
    <row r="5936" customFormat="1" spans="1:15">
      <c r="A5936">
        <v>7569</v>
      </c>
      <c r="B5936" t="s">
        <v>6232</v>
      </c>
      <c r="C5936" t="str">
        <f>"371082198605306324"</f>
        <v>371082198605306324</v>
      </c>
      <c r="L5936">
        <v>7569</v>
      </c>
      <c r="M5936" t="s">
        <v>6232</v>
      </c>
      <c r="O5936" t="str">
        <f>"371082198605306324"</f>
        <v>371082198605306324</v>
      </c>
    </row>
    <row r="5937" customFormat="1" spans="1:15">
      <c r="A5937">
        <v>7570</v>
      </c>
      <c r="B5937" t="s">
        <v>6233</v>
      </c>
      <c r="C5937" t="str">
        <f>"460033199705160025"</f>
        <v>460033199705160025</v>
      </c>
      <c r="L5937">
        <v>7570</v>
      </c>
      <c r="M5937" t="s">
        <v>6233</v>
      </c>
      <c r="O5937" t="str">
        <f>"460033199705160025"</f>
        <v>460033199705160025</v>
      </c>
    </row>
    <row r="5938" customFormat="1" spans="1:15">
      <c r="A5938">
        <v>7571</v>
      </c>
      <c r="B5938" t="s">
        <v>6234</v>
      </c>
      <c r="C5938" t="str">
        <f>"500234200112233896"</f>
        <v>500234200112233896</v>
      </c>
      <c r="D5938" t="str">
        <f>"248030202018"</f>
        <v>248030202018</v>
      </c>
      <c r="L5938">
        <v>7571</v>
      </c>
      <c r="M5938" t="s">
        <v>6234</v>
      </c>
      <c r="N5938" t="str">
        <f>"248030202018"</f>
        <v>248030202018</v>
      </c>
      <c r="O5938" t="str">
        <f>"500234200112233896"</f>
        <v>500234200112233896</v>
      </c>
    </row>
    <row r="5939" customFormat="1" spans="1:15">
      <c r="A5939">
        <v>7572</v>
      </c>
      <c r="B5939" t="s">
        <v>6235</v>
      </c>
      <c r="C5939" t="str">
        <f>"460103199703132722"</f>
        <v>460103199703132722</v>
      </c>
      <c r="L5939">
        <v>7572</v>
      </c>
      <c r="M5939" t="s">
        <v>6235</v>
      </c>
      <c r="O5939" t="str">
        <f>"460103199703132722"</f>
        <v>460103199703132722</v>
      </c>
    </row>
    <row r="5940" customFormat="1" spans="1:15">
      <c r="A5940">
        <v>7574</v>
      </c>
      <c r="B5940" t="s">
        <v>6236</v>
      </c>
      <c r="C5940" t="str">
        <f>"140109199910100540"</f>
        <v>140109199910100540</v>
      </c>
      <c r="D5940" t="str">
        <f>"248030102820"</f>
        <v>248030102820</v>
      </c>
      <c r="L5940">
        <v>7574</v>
      </c>
      <c r="M5940" t="s">
        <v>6236</v>
      </c>
      <c r="N5940" t="str">
        <f>"248030102820"</f>
        <v>248030102820</v>
      </c>
      <c r="O5940" t="str">
        <f>"140109199910100540"</f>
        <v>140109199910100540</v>
      </c>
    </row>
    <row r="5941" customFormat="1" spans="1:15">
      <c r="A5941">
        <v>7575</v>
      </c>
      <c r="B5941" t="s">
        <v>6237</v>
      </c>
      <c r="C5941" t="str">
        <f>"341226199407140326"</f>
        <v>341226199407140326</v>
      </c>
      <c r="D5941" t="str">
        <f>"248030102224"</f>
        <v>248030102224</v>
      </c>
      <c r="L5941">
        <v>7575</v>
      </c>
      <c r="M5941" t="s">
        <v>6237</v>
      </c>
      <c r="N5941" t="str">
        <f>"248030102224"</f>
        <v>248030102224</v>
      </c>
      <c r="O5941" t="str">
        <f>"341226199407140326"</f>
        <v>341226199407140326</v>
      </c>
    </row>
    <row r="5942" customFormat="1" spans="1:15">
      <c r="A5942">
        <v>7576</v>
      </c>
      <c r="B5942" t="s">
        <v>836</v>
      </c>
      <c r="C5942" t="str">
        <f>"460036198911087222"</f>
        <v>460036198911087222</v>
      </c>
      <c r="D5942" t="str">
        <f>"248030104128"</f>
        <v>248030104128</v>
      </c>
      <c r="L5942">
        <v>7576</v>
      </c>
      <c r="M5942" t="s">
        <v>836</v>
      </c>
      <c r="N5942" t="str">
        <f>"248030104128"</f>
        <v>248030104128</v>
      </c>
      <c r="O5942" t="str">
        <f>"460036198911087222"</f>
        <v>460036198911087222</v>
      </c>
    </row>
    <row r="5943" customFormat="1" spans="1:15">
      <c r="A5943">
        <v>7579</v>
      </c>
      <c r="B5943" t="s">
        <v>6238</v>
      </c>
      <c r="C5943" t="str">
        <f>"460006199406104622"</f>
        <v>460006199406104622</v>
      </c>
      <c r="D5943" t="str">
        <f>"248030301620"</f>
        <v>248030301620</v>
      </c>
      <c r="L5943">
        <v>7579</v>
      </c>
      <c r="M5943" t="s">
        <v>6238</v>
      </c>
      <c r="N5943" t="str">
        <f>"248030301620"</f>
        <v>248030301620</v>
      </c>
      <c r="O5943" t="str">
        <f>"460006199406104622"</f>
        <v>460006199406104622</v>
      </c>
    </row>
    <row r="5944" customFormat="1" spans="1:15">
      <c r="A5944">
        <v>7582</v>
      </c>
      <c r="B5944" t="s">
        <v>6239</v>
      </c>
      <c r="C5944" t="str">
        <f>"460026199311030013"</f>
        <v>460026199311030013</v>
      </c>
      <c r="D5944" t="str">
        <f>"248030201710"</f>
        <v>248030201710</v>
      </c>
      <c r="L5944">
        <v>7582</v>
      </c>
      <c r="M5944" t="s">
        <v>6239</v>
      </c>
      <c r="N5944" t="str">
        <f>"248030201710"</f>
        <v>248030201710</v>
      </c>
      <c r="O5944" t="str">
        <f>"460026199311030013"</f>
        <v>460026199311030013</v>
      </c>
    </row>
    <row r="5945" customFormat="1" spans="1:15">
      <c r="A5945">
        <v>7584</v>
      </c>
      <c r="B5945" t="s">
        <v>6240</v>
      </c>
      <c r="C5945" t="str">
        <f>"371326199902043110"</f>
        <v>371326199902043110</v>
      </c>
      <c r="L5945">
        <v>7584</v>
      </c>
      <c r="M5945" t="s">
        <v>6240</v>
      </c>
      <c r="O5945" t="str">
        <f>"371326199902043110"</f>
        <v>371326199902043110</v>
      </c>
    </row>
    <row r="5946" customFormat="1" spans="1:15">
      <c r="A5946">
        <v>7585</v>
      </c>
      <c r="B5946" t="s">
        <v>6241</v>
      </c>
      <c r="C5946" t="str">
        <f>"460026199308020025"</f>
        <v>460026199308020025</v>
      </c>
      <c r="D5946" t="str">
        <f>"248030404203"</f>
        <v>248030404203</v>
      </c>
      <c r="L5946">
        <v>7585</v>
      </c>
      <c r="M5946" t="s">
        <v>6241</v>
      </c>
      <c r="N5946" t="str">
        <f>"248030404203"</f>
        <v>248030404203</v>
      </c>
      <c r="O5946" t="str">
        <f>"460026199308020025"</f>
        <v>460026199308020025</v>
      </c>
    </row>
    <row r="5947" customFormat="1" spans="1:15">
      <c r="A5947">
        <v>7586</v>
      </c>
      <c r="B5947" t="s">
        <v>6242</v>
      </c>
      <c r="C5947" t="str">
        <f>"460006199701080926"</f>
        <v>460006199701080926</v>
      </c>
      <c r="D5947" t="str">
        <f>"248030302719"</f>
        <v>248030302719</v>
      </c>
      <c r="L5947">
        <v>7586</v>
      </c>
      <c r="M5947" t="s">
        <v>6242</v>
      </c>
      <c r="N5947" t="str">
        <f>"248030302719"</f>
        <v>248030302719</v>
      </c>
      <c r="O5947" t="str">
        <f>"460006199701080926"</f>
        <v>460006199701080926</v>
      </c>
    </row>
    <row r="5948" customFormat="1" spans="1:15">
      <c r="A5948">
        <v>7588</v>
      </c>
      <c r="B5948" t="s">
        <v>6243</v>
      </c>
      <c r="C5948" t="str">
        <f>"46000419941003226X"</f>
        <v>46000419941003226X</v>
      </c>
      <c r="D5948" t="str">
        <f>"248030504107"</f>
        <v>248030504107</v>
      </c>
      <c r="L5948">
        <v>7588</v>
      </c>
      <c r="M5948" t="s">
        <v>6243</v>
      </c>
      <c r="N5948" t="str">
        <f>"248030504107"</f>
        <v>248030504107</v>
      </c>
      <c r="O5948" t="str">
        <f>"46000419941003226X"</f>
        <v>46000419941003226X</v>
      </c>
    </row>
    <row r="5949" customFormat="1" spans="1:15">
      <c r="A5949">
        <v>7589</v>
      </c>
      <c r="B5949" t="s">
        <v>6244</v>
      </c>
      <c r="C5949" t="str">
        <f>"460028200202096812"</f>
        <v>460028200202096812</v>
      </c>
      <c r="D5949" t="str">
        <f>"248030401630"</f>
        <v>248030401630</v>
      </c>
      <c r="L5949">
        <v>7589</v>
      </c>
      <c r="M5949" t="s">
        <v>6244</v>
      </c>
      <c r="N5949" t="str">
        <f>"248030401630"</f>
        <v>248030401630</v>
      </c>
      <c r="O5949" t="str">
        <f>"460028200202096812"</f>
        <v>460028200202096812</v>
      </c>
    </row>
    <row r="5950" customFormat="1" spans="1:15">
      <c r="A5950">
        <v>7590</v>
      </c>
      <c r="B5950" t="s">
        <v>6245</v>
      </c>
      <c r="C5950" t="str">
        <f>"46000419980713386X"</f>
        <v>46000419980713386X</v>
      </c>
      <c r="D5950" t="str">
        <f>"248030501817"</f>
        <v>248030501817</v>
      </c>
      <c r="L5950">
        <v>7590</v>
      </c>
      <c r="M5950" t="s">
        <v>6245</v>
      </c>
      <c r="N5950" t="str">
        <f>"248030501817"</f>
        <v>248030501817</v>
      </c>
      <c r="O5950" t="str">
        <f>"46000419980713386X"</f>
        <v>46000419980713386X</v>
      </c>
    </row>
    <row r="5951" customFormat="1" spans="1:15">
      <c r="A5951">
        <v>7592</v>
      </c>
      <c r="B5951" t="s">
        <v>6246</v>
      </c>
      <c r="C5951" t="str">
        <f>"371422199203202442"</f>
        <v>371422199203202442</v>
      </c>
      <c r="D5951" t="str">
        <f>"248030100905"</f>
        <v>248030100905</v>
      </c>
      <c r="L5951">
        <v>7592</v>
      </c>
      <c r="M5951" t="s">
        <v>6246</v>
      </c>
      <c r="N5951" t="str">
        <f>"248030100905"</f>
        <v>248030100905</v>
      </c>
      <c r="O5951" t="str">
        <f>"371422199203202442"</f>
        <v>371422199203202442</v>
      </c>
    </row>
    <row r="5952" customFormat="1" spans="1:15">
      <c r="A5952">
        <v>7594</v>
      </c>
      <c r="B5952" t="s">
        <v>6247</v>
      </c>
      <c r="C5952" t="str">
        <f>"210411199501164128"</f>
        <v>210411199501164128</v>
      </c>
      <c r="L5952">
        <v>7594</v>
      </c>
      <c r="M5952" t="s">
        <v>6247</v>
      </c>
      <c r="O5952" t="str">
        <f>"210411199501164128"</f>
        <v>210411199501164128</v>
      </c>
    </row>
    <row r="5953" customFormat="1" spans="1:15">
      <c r="A5953">
        <v>7595</v>
      </c>
      <c r="B5953" t="s">
        <v>6248</v>
      </c>
      <c r="C5953" t="str">
        <f>"460004199411105045"</f>
        <v>460004199411105045</v>
      </c>
      <c r="D5953" t="str">
        <f>"248030503230"</f>
        <v>248030503230</v>
      </c>
      <c r="L5953">
        <v>7595</v>
      </c>
      <c r="M5953" t="s">
        <v>6248</v>
      </c>
      <c r="N5953" t="str">
        <f>"248030503230"</f>
        <v>248030503230</v>
      </c>
      <c r="O5953" t="str">
        <f>"460004199411105045"</f>
        <v>460004199411105045</v>
      </c>
    </row>
    <row r="5954" customFormat="1" spans="1:15">
      <c r="A5954">
        <v>7596</v>
      </c>
      <c r="B5954" t="s">
        <v>6249</v>
      </c>
      <c r="C5954" t="str">
        <f>"469024199806045220"</f>
        <v>469024199806045220</v>
      </c>
      <c r="D5954" t="str">
        <f>"248030403023"</f>
        <v>248030403023</v>
      </c>
      <c r="L5954">
        <v>7596</v>
      </c>
      <c r="M5954" t="s">
        <v>6249</v>
      </c>
      <c r="N5954" t="str">
        <f>"248030403023"</f>
        <v>248030403023</v>
      </c>
      <c r="O5954" t="str">
        <f>"469024199806045220"</f>
        <v>469024199806045220</v>
      </c>
    </row>
    <row r="5955" customFormat="1" spans="1:15">
      <c r="A5955">
        <v>7597</v>
      </c>
      <c r="B5955" t="s">
        <v>6250</v>
      </c>
      <c r="C5955" t="str">
        <f>"622322199206212619"</f>
        <v>622322199206212619</v>
      </c>
      <c r="D5955" t="str">
        <f>"248030400714"</f>
        <v>248030400714</v>
      </c>
      <c r="L5955">
        <v>7597</v>
      </c>
      <c r="M5955" t="s">
        <v>6250</v>
      </c>
      <c r="N5955" t="str">
        <f>"248030400714"</f>
        <v>248030400714</v>
      </c>
      <c r="O5955" t="str">
        <f>"622322199206212619"</f>
        <v>622322199206212619</v>
      </c>
    </row>
    <row r="5956" customFormat="1" spans="1:15">
      <c r="A5956">
        <v>7598</v>
      </c>
      <c r="B5956" t="s">
        <v>6251</v>
      </c>
      <c r="C5956" t="str">
        <f>"460031199404176426"</f>
        <v>460031199404176426</v>
      </c>
      <c r="D5956" t="str">
        <f>"248030101405"</f>
        <v>248030101405</v>
      </c>
      <c r="L5956">
        <v>7598</v>
      </c>
      <c r="M5956" t="s">
        <v>6251</v>
      </c>
      <c r="N5956" t="str">
        <f>"248030101405"</f>
        <v>248030101405</v>
      </c>
      <c r="O5956" t="str">
        <f>"460031199404176426"</f>
        <v>460031199404176426</v>
      </c>
    </row>
    <row r="5957" customFormat="1" spans="1:15">
      <c r="A5957">
        <v>7602</v>
      </c>
      <c r="B5957" t="s">
        <v>6252</v>
      </c>
      <c r="C5957" t="str">
        <f>"460006199810264425"</f>
        <v>460006199810264425</v>
      </c>
      <c r="L5957">
        <v>7602</v>
      </c>
      <c r="M5957" t="s">
        <v>6252</v>
      </c>
      <c r="O5957" t="str">
        <f>"460006199810264425"</f>
        <v>460006199810264425</v>
      </c>
    </row>
    <row r="5958" customFormat="1" spans="1:15">
      <c r="A5958">
        <v>7603</v>
      </c>
      <c r="B5958" t="s">
        <v>6253</v>
      </c>
      <c r="C5958" t="str">
        <f>"46000619970920062X"</f>
        <v>46000619970920062X</v>
      </c>
      <c r="D5958" t="str">
        <f>"248030302506"</f>
        <v>248030302506</v>
      </c>
      <c r="L5958">
        <v>7603</v>
      </c>
      <c r="M5958" t="s">
        <v>6253</v>
      </c>
      <c r="N5958" t="str">
        <f>"248030302506"</f>
        <v>248030302506</v>
      </c>
      <c r="O5958" t="str">
        <f>"46000619970920062X"</f>
        <v>46000619970920062X</v>
      </c>
    </row>
    <row r="5959" customFormat="1" spans="1:15">
      <c r="A5959">
        <v>7604</v>
      </c>
      <c r="B5959" t="s">
        <v>6254</v>
      </c>
      <c r="C5959" t="str">
        <f>"460004199811032025"</f>
        <v>460004199811032025</v>
      </c>
      <c r="D5959" t="str">
        <f>"248030403818"</f>
        <v>248030403818</v>
      </c>
      <c r="L5959">
        <v>7604</v>
      </c>
      <c r="M5959" t="s">
        <v>6254</v>
      </c>
      <c r="N5959" t="str">
        <f>"248030403818"</f>
        <v>248030403818</v>
      </c>
      <c r="O5959" t="str">
        <f>"460004199811032025"</f>
        <v>460004199811032025</v>
      </c>
    </row>
    <row r="5960" customFormat="1" spans="1:15">
      <c r="A5960">
        <v>7606</v>
      </c>
      <c r="B5960" t="s">
        <v>6255</v>
      </c>
      <c r="C5960" t="str">
        <f>"460005200103100535"</f>
        <v>460005200103100535</v>
      </c>
      <c r="D5960" t="str">
        <f>"248030102715"</f>
        <v>248030102715</v>
      </c>
      <c r="L5960">
        <v>7606</v>
      </c>
      <c r="M5960" t="s">
        <v>6255</v>
      </c>
      <c r="N5960" t="str">
        <f>"248030102715"</f>
        <v>248030102715</v>
      </c>
      <c r="O5960" t="str">
        <f>"460005200103100535"</f>
        <v>460005200103100535</v>
      </c>
    </row>
    <row r="5961" customFormat="1" spans="1:15">
      <c r="A5961">
        <v>7607</v>
      </c>
      <c r="B5961" t="s">
        <v>6256</v>
      </c>
      <c r="C5961" t="str">
        <f>"460200199101084483"</f>
        <v>460200199101084483</v>
      </c>
      <c r="D5961" t="str">
        <f>"248030200327"</f>
        <v>248030200327</v>
      </c>
      <c r="L5961">
        <v>7607</v>
      </c>
      <c r="M5961" t="s">
        <v>6256</v>
      </c>
      <c r="N5961" t="str">
        <f>"248030200327"</f>
        <v>248030200327</v>
      </c>
      <c r="O5961" t="str">
        <f>"460200199101084483"</f>
        <v>460200199101084483</v>
      </c>
    </row>
    <row r="5962" customFormat="1" spans="1:15">
      <c r="A5962">
        <v>7608</v>
      </c>
      <c r="B5962" t="s">
        <v>6257</v>
      </c>
      <c r="C5962" t="str">
        <f>"460034200208151242"</f>
        <v>460034200208151242</v>
      </c>
      <c r="D5962" t="str">
        <f>"248030302620"</f>
        <v>248030302620</v>
      </c>
      <c r="L5962">
        <v>7608</v>
      </c>
      <c r="M5962" t="s">
        <v>6257</v>
      </c>
      <c r="N5962" t="str">
        <f>"248030302620"</f>
        <v>248030302620</v>
      </c>
      <c r="O5962" t="str">
        <f>"460034200208151242"</f>
        <v>460034200208151242</v>
      </c>
    </row>
    <row r="5963" customFormat="1" spans="1:15">
      <c r="A5963">
        <v>7610</v>
      </c>
      <c r="B5963" t="s">
        <v>6258</v>
      </c>
      <c r="C5963" t="str">
        <f>"46002719980605622X"</f>
        <v>46002719980605622X</v>
      </c>
      <c r="D5963" t="str">
        <f>"248030104127"</f>
        <v>248030104127</v>
      </c>
      <c r="L5963">
        <v>7610</v>
      </c>
      <c r="M5963" t="s">
        <v>6258</v>
      </c>
      <c r="N5963" t="str">
        <f>"248030104127"</f>
        <v>248030104127</v>
      </c>
      <c r="O5963" t="str">
        <f>"46002719980605622X"</f>
        <v>46002719980605622X</v>
      </c>
    </row>
    <row r="5964" customFormat="1" spans="1:15">
      <c r="A5964">
        <v>7611</v>
      </c>
      <c r="B5964" t="s">
        <v>6259</v>
      </c>
      <c r="C5964" t="str">
        <f>"511621200206225662"</f>
        <v>511621200206225662</v>
      </c>
      <c r="D5964" t="str">
        <f>"248030401711"</f>
        <v>248030401711</v>
      </c>
      <c r="L5964">
        <v>7611</v>
      </c>
      <c r="M5964" t="s">
        <v>6259</v>
      </c>
      <c r="N5964" t="str">
        <f>"248030401711"</f>
        <v>248030401711</v>
      </c>
      <c r="O5964" t="str">
        <f>"511621200206225662"</f>
        <v>511621200206225662</v>
      </c>
    </row>
    <row r="5965" customFormat="1" spans="1:15">
      <c r="A5965">
        <v>7612</v>
      </c>
      <c r="B5965" t="s">
        <v>6260</v>
      </c>
      <c r="C5965" t="str">
        <f>"460026199111093060"</f>
        <v>460026199111093060</v>
      </c>
      <c r="D5965" t="str">
        <f>"248030403202"</f>
        <v>248030403202</v>
      </c>
      <c r="L5965">
        <v>7612</v>
      </c>
      <c r="M5965" t="s">
        <v>6260</v>
      </c>
      <c r="N5965" t="str">
        <f>"248030403202"</f>
        <v>248030403202</v>
      </c>
      <c r="O5965" t="str">
        <f>"460026199111093060"</f>
        <v>460026199111093060</v>
      </c>
    </row>
    <row r="5966" customFormat="1" spans="1:15">
      <c r="A5966">
        <v>7614</v>
      </c>
      <c r="B5966" t="s">
        <v>6261</v>
      </c>
      <c r="C5966" t="str">
        <f>"469002200109212027"</f>
        <v>469002200109212027</v>
      </c>
      <c r="D5966" t="str">
        <f>"248030100911"</f>
        <v>248030100911</v>
      </c>
      <c r="L5966">
        <v>7614</v>
      </c>
      <c r="M5966" t="s">
        <v>6261</v>
      </c>
      <c r="N5966" t="str">
        <f>"248030100911"</f>
        <v>248030100911</v>
      </c>
      <c r="O5966" t="str">
        <f>"469002200109212027"</f>
        <v>469002200109212027</v>
      </c>
    </row>
    <row r="5967" customFormat="1" spans="1:15">
      <c r="A5967">
        <v>7615</v>
      </c>
      <c r="B5967" t="s">
        <v>6262</v>
      </c>
      <c r="C5967" t="str">
        <f>"460030199505060020"</f>
        <v>460030199505060020</v>
      </c>
      <c r="D5967" t="str">
        <f>"248030503613"</f>
        <v>248030503613</v>
      </c>
      <c r="L5967">
        <v>7615</v>
      </c>
      <c r="M5967" t="s">
        <v>6262</v>
      </c>
      <c r="N5967" t="str">
        <f>"248030503613"</f>
        <v>248030503613</v>
      </c>
      <c r="O5967" t="str">
        <f>"460030199505060020"</f>
        <v>460030199505060020</v>
      </c>
    </row>
    <row r="5968" customFormat="1" spans="1:15">
      <c r="A5968">
        <v>7616</v>
      </c>
      <c r="B5968" t="s">
        <v>1205</v>
      </c>
      <c r="C5968" t="str">
        <f>"460300200005150023"</f>
        <v>460300200005150023</v>
      </c>
      <c r="D5968" t="str">
        <f>"248030501208"</f>
        <v>248030501208</v>
      </c>
      <c r="L5968">
        <v>7616</v>
      </c>
      <c r="M5968" t="s">
        <v>1205</v>
      </c>
      <c r="N5968" t="str">
        <f>"248030501208"</f>
        <v>248030501208</v>
      </c>
      <c r="O5968" t="str">
        <f>"460300200005150023"</f>
        <v>460300200005150023</v>
      </c>
    </row>
    <row r="5969" customFormat="1" spans="1:15">
      <c r="A5969">
        <v>7617</v>
      </c>
      <c r="B5969" t="s">
        <v>6263</v>
      </c>
      <c r="C5969" t="str">
        <f>"460003199706196427"</f>
        <v>460003199706196427</v>
      </c>
      <c r="L5969">
        <v>7617</v>
      </c>
      <c r="M5969" t="s">
        <v>6263</v>
      </c>
      <c r="O5969" t="str">
        <f>"460003199706196427"</f>
        <v>460003199706196427</v>
      </c>
    </row>
    <row r="5970" customFormat="1" spans="1:15">
      <c r="A5970">
        <v>7618</v>
      </c>
      <c r="B5970" t="s">
        <v>6264</v>
      </c>
      <c r="C5970" t="str">
        <f>"46002819890910402X"</f>
        <v>46002819890910402X</v>
      </c>
      <c r="D5970" t="str">
        <f>"248030102614"</f>
        <v>248030102614</v>
      </c>
      <c r="L5970">
        <v>7618</v>
      </c>
      <c r="M5970" t="s">
        <v>6264</v>
      </c>
      <c r="N5970" t="str">
        <f>"248030102614"</f>
        <v>248030102614</v>
      </c>
      <c r="O5970" t="str">
        <f>"46002819890910402X"</f>
        <v>46002819890910402X</v>
      </c>
    </row>
    <row r="5971" customFormat="1" spans="1:15">
      <c r="A5971">
        <v>7621</v>
      </c>
      <c r="B5971" t="s">
        <v>6265</v>
      </c>
      <c r="C5971" t="str">
        <f>"360734200006140021"</f>
        <v>360734200006140021</v>
      </c>
      <c r="L5971">
        <v>7621</v>
      </c>
      <c r="M5971" t="s">
        <v>6265</v>
      </c>
      <c r="O5971" t="str">
        <f>"360734200006140021"</f>
        <v>360734200006140021</v>
      </c>
    </row>
    <row r="5972" customFormat="1" spans="1:15">
      <c r="A5972">
        <v>7622</v>
      </c>
      <c r="B5972" t="s">
        <v>6266</v>
      </c>
      <c r="C5972" t="str">
        <f>"469026199402273625"</f>
        <v>469026199402273625</v>
      </c>
      <c r="D5972" t="str">
        <f>"248030104701"</f>
        <v>248030104701</v>
      </c>
      <c r="L5972">
        <v>7622</v>
      </c>
      <c r="M5972" t="s">
        <v>6266</v>
      </c>
      <c r="N5972" t="str">
        <f>"248030104701"</f>
        <v>248030104701</v>
      </c>
      <c r="O5972" t="str">
        <f>"469026199402273625"</f>
        <v>469026199402273625</v>
      </c>
    </row>
    <row r="5973" customFormat="1" spans="1:15">
      <c r="A5973">
        <v>7624</v>
      </c>
      <c r="B5973" t="s">
        <v>6267</v>
      </c>
      <c r="C5973" t="str">
        <f>"460102200003131824"</f>
        <v>460102200003131824</v>
      </c>
      <c r="D5973" t="str">
        <f>"248030202617"</f>
        <v>248030202617</v>
      </c>
      <c r="L5973">
        <v>7624</v>
      </c>
      <c r="M5973" t="s">
        <v>6267</v>
      </c>
      <c r="N5973" t="str">
        <f>"248030202617"</f>
        <v>248030202617</v>
      </c>
      <c r="O5973" t="str">
        <f>"460102200003131824"</f>
        <v>460102200003131824</v>
      </c>
    </row>
    <row r="5974" customFormat="1" spans="1:15">
      <c r="A5974">
        <v>7625</v>
      </c>
      <c r="B5974" t="s">
        <v>6268</v>
      </c>
      <c r="C5974" t="str">
        <f>"45212719981101242X"</f>
        <v>45212719981101242X</v>
      </c>
      <c r="D5974" t="str">
        <f>"248030401826"</f>
        <v>248030401826</v>
      </c>
      <c r="L5974">
        <v>7625</v>
      </c>
      <c r="M5974" t="s">
        <v>6268</v>
      </c>
      <c r="N5974" t="str">
        <f>"248030401826"</f>
        <v>248030401826</v>
      </c>
      <c r="O5974" t="str">
        <f>"45212719981101242X"</f>
        <v>45212719981101242X</v>
      </c>
    </row>
    <row r="5975" customFormat="1" spans="1:15">
      <c r="A5975">
        <v>7626</v>
      </c>
      <c r="B5975" t="s">
        <v>6269</v>
      </c>
      <c r="C5975" t="str">
        <f>"430424200107092347"</f>
        <v>430424200107092347</v>
      </c>
      <c r="D5975" t="str">
        <f>"248030502820"</f>
        <v>248030502820</v>
      </c>
      <c r="L5975">
        <v>7626</v>
      </c>
      <c r="M5975" t="s">
        <v>6269</v>
      </c>
      <c r="N5975" t="str">
        <f>"248030502820"</f>
        <v>248030502820</v>
      </c>
      <c r="O5975" t="str">
        <f>"430424200107092347"</f>
        <v>430424200107092347</v>
      </c>
    </row>
    <row r="5976" customFormat="1" spans="1:15">
      <c r="A5976">
        <v>7630</v>
      </c>
      <c r="B5976" t="s">
        <v>6270</v>
      </c>
      <c r="C5976" t="str">
        <f>"460007199203270045"</f>
        <v>460007199203270045</v>
      </c>
      <c r="D5976" t="str">
        <f>"248030101606"</f>
        <v>248030101606</v>
      </c>
      <c r="L5976">
        <v>7630</v>
      </c>
      <c r="M5976" t="s">
        <v>6270</v>
      </c>
      <c r="N5976" t="str">
        <f>"248030101606"</f>
        <v>248030101606</v>
      </c>
      <c r="O5976" t="str">
        <f>"460007199203270045"</f>
        <v>460007199203270045</v>
      </c>
    </row>
    <row r="5977" customFormat="1" spans="1:15">
      <c r="A5977">
        <v>7631</v>
      </c>
      <c r="B5977" t="s">
        <v>6271</v>
      </c>
      <c r="C5977" t="str">
        <f>"460003200102162029"</f>
        <v>460003200102162029</v>
      </c>
      <c r="D5977" t="str">
        <f>"248030403102"</f>
        <v>248030403102</v>
      </c>
      <c r="L5977">
        <v>7631</v>
      </c>
      <c r="M5977" t="s">
        <v>6271</v>
      </c>
      <c r="N5977" t="str">
        <f>"248030403102"</f>
        <v>248030403102</v>
      </c>
      <c r="O5977" t="str">
        <f>"460003200102162029"</f>
        <v>460003200102162029</v>
      </c>
    </row>
    <row r="5978" customFormat="1" spans="1:15">
      <c r="A5978">
        <v>7632</v>
      </c>
      <c r="B5978" t="s">
        <v>6272</v>
      </c>
      <c r="C5978" t="str">
        <f>"460007198808150842"</f>
        <v>460007198808150842</v>
      </c>
      <c r="D5978" t="str">
        <f>"248030501020"</f>
        <v>248030501020</v>
      </c>
      <c r="L5978">
        <v>7632</v>
      </c>
      <c r="M5978" t="s">
        <v>6272</v>
      </c>
      <c r="N5978" t="str">
        <f>"248030501020"</f>
        <v>248030501020</v>
      </c>
      <c r="O5978" t="str">
        <f>"460007198808150842"</f>
        <v>460007198808150842</v>
      </c>
    </row>
    <row r="5979" customFormat="1" spans="1:15">
      <c r="A5979">
        <v>7633</v>
      </c>
      <c r="B5979" t="s">
        <v>6273</v>
      </c>
      <c r="C5979" t="str">
        <f>"460007199510225842"</f>
        <v>460007199510225842</v>
      </c>
      <c r="D5979" t="str">
        <f>"248030504209"</f>
        <v>248030504209</v>
      </c>
      <c r="L5979">
        <v>7633</v>
      </c>
      <c r="M5979" t="s">
        <v>6273</v>
      </c>
      <c r="N5979" t="str">
        <f>"248030504209"</f>
        <v>248030504209</v>
      </c>
      <c r="O5979" t="str">
        <f>"460007199510225842"</f>
        <v>460007199510225842</v>
      </c>
    </row>
    <row r="5980" customFormat="1" spans="1:15">
      <c r="A5980">
        <v>7634</v>
      </c>
      <c r="B5980" t="s">
        <v>6274</v>
      </c>
      <c r="C5980" t="str">
        <f>"341223199404032929"</f>
        <v>341223199404032929</v>
      </c>
      <c r="D5980" t="str">
        <f>"248030101801"</f>
        <v>248030101801</v>
      </c>
      <c r="L5980">
        <v>7634</v>
      </c>
      <c r="M5980" t="s">
        <v>6274</v>
      </c>
      <c r="N5980" t="str">
        <f>"248030101801"</f>
        <v>248030101801</v>
      </c>
      <c r="O5980" t="str">
        <f>"341223199404032929"</f>
        <v>341223199404032929</v>
      </c>
    </row>
    <row r="5981" customFormat="1" spans="1:15">
      <c r="A5981">
        <v>7635</v>
      </c>
      <c r="B5981" t="s">
        <v>6275</v>
      </c>
      <c r="C5981" t="str">
        <f>"460003199810183028"</f>
        <v>460003199810183028</v>
      </c>
      <c r="D5981" t="str">
        <f>"248030401904"</f>
        <v>248030401904</v>
      </c>
      <c r="L5981">
        <v>7635</v>
      </c>
      <c r="M5981" t="s">
        <v>6275</v>
      </c>
      <c r="N5981" t="str">
        <f>"248030401904"</f>
        <v>248030401904</v>
      </c>
      <c r="O5981" t="str">
        <f>"460003199810183028"</f>
        <v>460003199810183028</v>
      </c>
    </row>
    <row r="5982" customFormat="1" spans="1:15">
      <c r="A5982">
        <v>7637</v>
      </c>
      <c r="B5982" t="s">
        <v>6276</v>
      </c>
      <c r="C5982" t="str">
        <f>"622827199508153123"</f>
        <v>622827199508153123</v>
      </c>
      <c r="D5982" t="str">
        <f>"248030300317"</f>
        <v>248030300317</v>
      </c>
      <c r="L5982">
        <v>7637</v>
      </c>
      <c r="M5982" t="s">
        <v>6276</v>
      </c>
      <c r="N5982" t="str">
        <f>"248030300317"</f>
        <v>248030300317</v>
      </c>
      <c r="O5982" t="str">
        <f>"622827199508153123"</f>
        <v>622827199508153123</v>
      </c>
    </row>
    <row r="5983" customFormat="1" spans="1:15">
      <c r="A5983">
        <v>7638</v>
      </c>
      <c r="B5983" t="s">
        <v>6277</v>
      </c>
      <c r="C5983" t="str">
        <f>"460003199909216643"</f>
        <v>460003199909216643</v>
      </c>
      <c r="D5983" t="str">
        <f>"248030501022"</f>
        <v>248030501022</v>
      </c>
      <c r="L5983">
        <v>7638</v>
      </c>
      <c r="M5983" t="s">
        <v>6277</v>
      </c>
      <c r="N5983" t="str">
        <f>"248030501022"</f>
        <v>248030501022</v>
      </c>
      <c r="O5983" t="str">
        <f>"460003199909216643"</f>
        <v>460003199909216643</v>
      </c>
    </row>
    <row r="5984" customFormat="1" spans="1:15">
      <c r="A5984">
        <v>7639</v>
      </c>
      <c r="B5984" t="s">
        <v>6278</v>
      </c>
      <c r="C5984" t="str">
        <f>"46000320020824345X"</f>
        <v>46000320020824345X</v>
      </c>
      <c r="D5984" t="str">
        <f>"248030402929"</f>
        <v>248030402929</v>
      </c>
      <c r="L5984">
        <v>7639</v>
      </c>
      <c r="M5984" t="s">
        <v>6278</v>
      </c>
      <c r="N5984" t="str">
        <f>"248030402929"</f>
        <v>248030402929</v>
      </c>
      <c r="O5984" t="str">
        <f>"46000320020824345X"</f>
        <v>46000320020824345X</v>
      </c>
    </row>
    <row r="5985" customFormat="1" spans="1:15">
      <c r="A5985">
        <v>7640</v>
      </c>
      <c r="B5985" t="s">
        <v>6279</v>
      </c>
      <c r="C5985" t="str">
        <f>"460005200001261215"</f>
        <v>460005200001261215</v>
      </c>
      <c r="D5985" t="str">
        <f>"248030202621"</f>
        <v>248030202621</v>
      </c>
      <c r="L5985">
        <v>7640</v>
      </c>
      <c r="M5985" t="s">
        <v>6279</v>
      </c>
      <c r="N5985" t="str">
        <f>"248030202621"</f>
        <v>248030202621</v>
      </c>
      <c r="O5985" t="str">
        <f>"460005200001261215"</f>
        <v>460005200001261215</v>
      </c>
    </row>
    <row r="5986" customFormat="1" spans="1:15">
      <c r="A5986">
        <v>7641</v>
      </c>
      <c r="B5986" t="s">
        <v>6280</v>
      </c>
      <c r="C5986" t="str">
        <f>"460004199704262626"</f>
        <v>460004199704262626</v>
      </c>
      <c r="L5986">
        <v>7641</v>
      </c>
      <c r="M5986" t="s">
        <v>6280</v>
      </c>
      <c r="O5986" t="str">
        <f>"460004199704262626"</f>
        <v>460004199704262626</v>
      </c>
    </row>
    <row r="5987" customFormat="1" spans="1:15">
      <c r="A5987">
        <v>7644</v>
      </c>
      <c r="B5987" t="s">
        <v>4078</v>
      </c>
      <c r="C5987" t="str">
        <f>"46003319871208322X"</f>
        <v>46003319871208322X</v>
      </c>
      <c r="D5987" t="str">
        <f>"248030402009"</f>
        <v>248030402009</v>
      </c>
      <c r="L5987">
        <v>7644</v>
      </c>
      <c r="M5987" t="s">
        <v>4078</v>
      </c>
      <c r="N5987" t="str">
        <f>"248030402009"</f>
        <v>248030402009</v>
      </c>
      <c r="O5987" t="str">
        <f>"46003319871208322X"</f>
        <v>46003319871208322X</v>
      </c>
    </row>
    <row r="5988" customFormat="1" spans="1:15">
      <c r="A5988">
        <v>7645</v>
      </c>
      <c r="B5988" t="s">
        <v>387</v>
      </c>
      <c r="C5988" t="str">
        <f>"130303198804042267"</f>
        <v>130303198804042267</v>
      </c>
      <c r="D5988" t="str">
        <f>"248030403827"</f>
        <v>248030403827</v>
      </c>
      <c r="L5988">
        <v>7645</v>
      </c>
      <c r="M5988" t="s">
        <v>387</v>
      </c>
      <c r="N5988" t="str">
        <f>"248030403827"</f>
        <v>248030403827</v>
      </c>
      <c r="O5988" t="str">
        <f>"130303198804042267"</f>
        <v>130303198804042267</v>
      </c>
    </row>
    <row r="5989" customFormat="1" spans="1:15">
      <c r="A5989">
        <v>7646</v>
      </c>
      <c r="B5989" t="s">
        <v>6281</v>
      </c>
      <c r="C5989" t="str">
        <f>"460033199906040011"</f>
        <v>460033199906040011</v>
      </c>
      <c r="D5989" t="str">
        <f>"248030401805"</f>
        <v>248030401805</v>
      </c>
      <c r="L5989">
        <v>7646</v>
      </c>
      <c r="M5989" t="s">
        <v>6281</v>
      </c>
      <c r="N5989" t="str">
        <f>"248030401805"</f>
        <v>248030401805</v>
      </c>
      <c r="O5989" t="str">
        <f>"460033199906040011"</f>
        <v>460033199906040011</v>
      </c>
    </row>
    <row r="5990" customFormat="1" spans="1:15">
      <c r="A5990">
        <v>7647</v>
      </c>
      <c r="B5990" t="s">
        <v>6282</v>
      </c>
      <c r="C5990" t="str">
        <f>"460003199602273811"</f>
        <v>460003199602273811</v>
      </c>
      <c r="L5990">
        <v>7647</v>
      </c>
      <c r="M5990" t="s">
        <v>6282</v>
      </c>
      <c r="O5990" t="str">
        <f>"460003199602273811"</f>
        <v>460003199602273811</v>
      </c>
    </row>
    <row r="5991" customFormat="1" spans="1:15">
      <c r="A5991">
        <v>7648</v>
      </c>
      <c r="B5991" t="s">
        <v>6283</v>
      </c>
      <c r="C5991" t="str">
        <f>"23050319840410083X"</f>
        <v>23050319840410083X</v>
      </c>
      <c r="D5991" t="str">
        <f>"248030302009"</f>
        <v>248030302009</v>
      </c>
      <c r="L5991">
        <v>7648</v>
      </c>
      <c r="M5991" t="s">
        <v>6283</v>
      </c>
      <c r="N5991" t="str">
        <f>"248030302009"</f>
        <v>248030302009</v>
      </c>
      <c r="O5991" t="str">
        <f>"23050319840410083X"</f>
        <v>23050319840410083X</v>
      </c>
    </row>
    <row r="5992" customFormat="1" spans="1:15">
      <c r="A5992">
        <v>7649</v>
      </c>
      <c r="B5992" t="s">
        <v>6284</v>
      </c>
      <c r="C5992" t="str">
        <f>"469023199905160025"</f>
        <v>469023199905160025</v>
      </c>
      <c r="D5992" t="str">
        <f>"248030102226"</f>
        <v>248030102226</v>
      </c>
      <c r="L5992">
        <v>7649</v>
      </c>
      <c r="M5992" t="s">
        <v>6284</v>
      </c>
      <c r="N5992" t="str">
        <f>"248030102226"</f>
        <v>248030102226</v>
      </c>
      <c r="O5992" t="str">
        <f>"469023199905160025"</f>
        <v>469023199905160025</v>
      </c>
    </row>
    <row r="5993" customFormat="1" spans="1:15">
      <c r="A5993">
        <v>7650</v>
      </c>
      <c r="B5993" t="s">
        <v>6285</v>
      </c>
      <c r="C5993" t="str">
        <f>"45080219981022362X"</f>
        <v>45080219981022362X</v>
      </c>
      <c r="L5993">
        <v>7650</v>
      </c>
      <c r="M5993" t="s">
        <v>6285</v>
      </c>
      <c r="O5993" t="str">
        <f>"45080219981022362X"</f>
        <v>45080219981022362X</v>
      </c>
    </row>
    <row r="5994" customFormat="1" spans="1:15">
      <c r="A5994">
        <v>7651</v>
      </c>
      <c r="B5994" t="s">
        <v>6286</v>
      </c>
      <c r="C5994" t="str">
        <f>"469023200112301313"</f>
        <v>469023200112301313</v>
      </c>
      <c r="D5994" t="str">
        <f>"248030400923"</f>
        <v>248030400923</v>
      </c>
      <c r="L5994">
        <v>7651</v>
      </c>
      <c r="M5994" t="s">
        <v>6286</v>
      </c>
      <c r="N5994" t="str">
        <f>"248030400923"</f>
        <v>248030400923</v>
      </c>
      <c r="O5994" t="str">
        <f>"469023200112301313"</f>
        <v>469023200112301313</v>
      </c>
    </row>
    <row r="5995" customFormat="1" spans="1:15">
      <c r="A5995">
        <v>7652</v>
      </c>
      <c r="B5995" t="s">
        <v>6287</v>
      </c>
      <c r="C5995" t="str">
        <f>"460026199802104523"</f>
        <v>460026199802104523</v>
      </c>
      <c r="D5995" t="str">
        <f>"248030104310"</f>
        <v>248030104310</v>
      </c>
      <c r="L5995">
        <v>7652</v>
      </c>
      <c r="M5995" t="s">
        <v>6287</v>
      </c>
      <c r="N5995" t="str">
        <f>"248030104310"</f>
        <v>248030104310</v>
      </c>
      <c r="O5995" t="str">
        <f>"460026199802104523"</f>
        <v>460026199802104523</v>
      </c>
    </row>
    <row r="5996" customFormat="1" spans="1:15">
      <c r="A5996">
        <v>7654</v>
      </c>
      <c r="B5996" t="s">
        <v>6288</v>
      </c>
      <c r="C5996" t="str">
        <f>"46020019961112166X"</f>
        <v>46020019961112166X</v>
      </c>
      <c r="L5996">
        <v>7654</v>
      </c>
      <c r="M5996" t="s">
        <v>6288</v>
      </c>
      <c r="O5996" t="str">
        <f>"46020019961112166X"</f>
        <v>46020019961112166X</v>
      </c>
    </row>
    <row r="5997" customFormat="1" spans="1:15">
      <c r="A5997">
        <v>7655</v>
      </c>
      <c r="B5997" t="s">
        <v>6289</v>
      </c>
      <c r="C5997" t="str">
        <f>"460028199802147614"</f>
        <v>460028199802147614</v>
      </c>
      <c r="D5997" t="str">
        <f>"248030201314"</f>
        <v>248030201314</v>
      </c>
      <c r="L5997">
        <v>7655</v>
      </c>
      <c r="M5997" t="s">
        <v>6289</v>
      </c>
      <c r="N5997" t="str">
        <f>"248030201314"</f>
        <v>248030201314</v>
      </c>
      <c r="O5997" t="str">
        <f>"460028199802147614"</f>
        <v>460028199802147614</v>
      </c>
    </row>
    <row r="5998" customFormat="1" spans="1:15">
      <c r="A5998">
        <v>7656</v>
      </c>
      <c r="B5998" t="s">
        <v>6290</v>
      </c>
      <c r="C5998" t="str">
        <f>"46002719950607002X"</f>
        <v>46002719950607002X</v>
      </c>
      <c r="D5998" t="str">
        <f>"248030104426"</f>
        <v>248030104426</v>
      </c>
      <c r="L5998">
        <v>7656</v>
      </c>
      <c r="M5998" t="s">
        <v>6290</v>
      </c>
      <c r="N5998" t="str">
        <f>"248030104426"</f>
        <v>248030104426</v>
      </c>
      <c r="O5998" t="str">
        <f>"46002719950607002X"</f>
        <v>46002719950607002X</v>
      </c>
    </row>
    <row r="5999" customFormat="1" spans="1:15">
      <c r="A5999">
        <v>7658</v>
      </c>
      <c r="B5999" t="s">
        <v>6291</v>
      </c>
      <c r="C5999" t="str">
        <f>"210103199704215726"</f>
        <v>210103199704215726</v>
      </c>
      <c r="L5999">
        <v>7658</v>
      </c>
      <c r="M5999" t="s">
        <v>6291</v>
      </c>
      <c r="O5999" t="str">
        <f>"210103199704215726"</f>
        <v>210103199704215726</v>
      </c>
    </row>
    <row r="6000" customFormat="1" spans="1:15">
      <c r="A6000">
        <v>7659</v>
      </c>
      <c r="B6000" t="s">
        <v>1991</v>
      </c>
      <c r="C6000" t="str">
        <f>"460003199502240246"</f>
        <v>460003199502240246</v>
      </c>
      <c r="D6000" t="str">
        <f>"248030501205"</f>
        <v>248030501205</v>
      </c>
      <c r="L6000">
        <v>7659</v>
      </c>
      <c r="M6000" t="s">
        <v>1991</v>
      </c>
      <c r="N6000" t="str">
        <f>"248030501205"</f>
        <v>248030501205</v>
      </c>
      <c r="O6000" t="str">
        <f>"460003199502240246"</f>
        <v>460003199502240246</v>
      </c>
    </row>
    <row r="6001" customFormat="1" spans="1:15">
      <c r="A6001">
        <v>7660</v>
      </c>
      <c r="B6001" t="s">
        <v>6292</v>
      </c>
      <c r="C6001" t="str">
        <f>"130502199909050326"</f>
        <v>130502199909050326</v>
      </c>
      <c r="D6001" t="str">
        <f>"248030401118"</f>
        <v>248030401118</v>
      </c>
      <c r="L6001">
        <v>7660</v>
      </c>
      <c r="M6001" t="s">
        <v>6292</v>
      </c>
      <c r="N6001" t="str">
        <f>"248030401118"</f>
        <v>248030401118</v>
      </c>
      <c r="O6001" t="str">
        <f>"130502199909050326"</f>
        <v>130502199909050326</v>
      </c>
    </row>
    <row r="6002" customFormat="1" spans="1:15">
      <c r="A6002">
        <v>7661</v>
      </c>
      <c r="B6002" t="s">
        <v>6293</v>
      </c>
      <c r="C6002" t="str">
        <f>"210112199903110616"</f>
        <v>210112199903110616</v>
      </c>
      <c r="L6002">
        <v>7661</v>
      </c>
      <c r="M6002" t="s">
        <v>6293</v>
      </c>
      <c r="O6002" t="str">
        <f>"210112199903110616"</f>
        <v>210112199903110616</v>
      </c>
    </row>
    <row r="6003" customFormat="1" spans="1:15">
      <c r="A6003">
        <v>7662</v>
      </c>
      <c r="B6003" t="s">
        <v>2131</v>
      </c>
      <c r="C6003" t="str">
        <f>"460102199009073025"</f>
        <v>460102199009073025</v>
      </c>
      <c r="D6003" t="str">
        <f>"248030301711"</f>
        <v>248030301711</v>
      </c>
      <c r="L6003">
        <v>7662</v>
      </c>
      <c r="M6003" t="s">
        <v>2131</v>
      </c>
      <c r="N6003" t="str">
        <f>"248030301711"</f>
        <v>248030301711</v>
      </c>
      <c r="O6003" t="str">
        <f>"460102199009073025"</f>
        <v>460102199009073025</v>
      </c>
    </row>
    <row r="6004" customFormat="1" spans="1:15">
      <c r="A6004">
        <v>7663</v>
      </c>
      <c r="B6004" t="s">
        <v>6294</v>
      </c>
      <c r="C6004" t="str">
        <f>"460004198410055344"</f>
        <v>460004198410055344</v>
      </c>
      <c r="L6004">
        <v>7663</v>
      </c>
      <c r="M6004" t="s">
        <v>6294</v>
      </c>
      <c r="O6004" t="str">
        <f>"460004198410055344"</f>
        <v>460004198410055344</v>
      </c>
    </row>
    <row r="6005" customFormat="1" spans="1:15">
      <c r="A6005">
        <v>7664</v>
      </c>
      <c r="B6005" t="s">
        <v>131</v>
      </c>
      <c r="C6005" t="str">
        <f>"460006199709020020"</f>
        <v>460006199709020020</v>
      </c>
      <c r="D6005" t="str">
        <f>"248030102114"</f>
        <v>248030102114</v>
      </c>
      <c r="L6005">
        <v>7664</v>
      </c>
      <c r="M6005" t="s">
        <v>131</v>
      </c>
      <c r="N6005" t="str">
        <f>"248030102114"</f>
        <v>248030102114</v>
      </c>
      <c r="O6005" t="str">
        <f>"460006199709020020"</f>
        <v>460006199709020020</v>
      </c>
    </row>
    <row r="6006" customFormat="1" spans="1:15">
      <c r="A6006">
        <v>7665</v>
      </c>
      <c r="B6006" t="s">
        <v>6295</v>
      </c>
      <c r="C6006" t="str">
        <f>"460103200001300029"</f>
        <v>460103200001300029</v>
      </c>
      <c r="D6006" t="str">
        <f>"248030103213"</f>
        <v>248030103213</v>
      </c>
      <c r="L6006">
        <v>7665</v>
      </c>
      <c r="M6006" t="s">
        <v>6295</v>
      </c>
      <c r="N6006" t="str">
        <f>"248030103213"</f>
        <v>248030103213</v>
      </c>
      <c r="O6006" t="str">
        <f>"460103200001300029"</f>
        <v>460103200001300029</v>
      </c>
    </row>
    <row r="6007" customFormat="1" spans="1:15">
      <c r="A6007">
        <v>7667</v>
      </c>
      <c r="B6007" t="s">
        <v>6296</v>
      </c>
      <c r="C6007" t="str">
        <f>"469024199810212423"</f>
        <v>469024199810212423</v>
      </c>
      <c r="D6007" t="str">
        <f>"248030103608"</f>
        <v>248030103608</v>
      </c>
      <c r="L6007">
        <v>7667</v>
      </c>
      <c r="M6007" t="s">
        <v>6296</v>
      </c>
      <c r="N6007" t="str">
        <f>"248030103608"</f>
        <v>248030103608</v>
      </c>
      <c r="O6007" t="str">
        <f>"469024199810212423"</f>
        <v>469024199810212423</v>
      </c>
    </row>
    <row r="6008" customFormat="1" spans="1:15">
      <c r="A6008">
        <v>7668</v>
      </c>
      <c r="B6008" t="s">
        <v>187</v>
      </c>
      <c r="C6008" t="str">
        <f>"469021199708240023"</f>
        <v>469021199708240023</v>
      </c>
      <c r="D6008" t="str">
        <f>"248030502020"</f>
        <v>248030502020</v>
      </c>
      <c r="L6008">
        <v>7668</v>
      </c>
      <c r="M6008" t="s">
        <v>187</v>
      </c>
      <c r="N6008" t="str">
        <f>"248030502020"</f>
        <v>248030502020</v>
      </c>
      <c r="O6008" t="str">
        <f>"469021199708240023"</f>
        <v>469021199708240023</v>
      </c>
    </row>
    <row r="6009" customFormat="1" spans="1:15">
      <c r="A6009">
        <v>7669</v>
      </c>
      <c r="B6009" t="s">
        <v>6297</v>
      </c>
      <c r="C6009" t="str">
        <f>"460002200103262818"</f>
        <v>460002200103262818</v>
      </c>
      <c r="D6009" t="str">
        <f>"248030202127"</f>
        <v>248030202127</v>
      </c>
      <c r="L6009">
        <v>7669</v>
      </c>
      <c r="M6009" t="s">
        <v>6297</v>
      </c>
      <c r="N6009" t="str">
        <f>"248030202127"</f>
        <v>248030202127</v>
      </c>
      <c r="O6009" t="str">
        <f>"460002200103262818"</f>
        <v>460002200103262818</v>
      </c>
    </row>
    <row r="6010" customFormat="1" spans="1:15">
      <c r="A6010">
        <v>7670</v>
      </c>
      <c r="B6010" t="s">
        <v>6298</v>
      </c>
      <c r="C6010" t="str">
        <f>"342423199410033276"</f>
        <v>342423199410033276</v>
      </c>
      <c r="D6010" t="str">
        <f>"248030201218"</f>
        <v>248030201218</v>
      </c>
      <c r="L6010">
        <v>7670</v>
      </c>
      <c r="M6010" t="s">
        <v>6298</v>
      </c>
      <c r="N6010" t="str">
        <f>"248030201218"</f>
        <v>248030201218</v>
      </c>
      <c r="O6010" t="str">
        <f>"342423199410033276"</f>
        <v>342423199410033276</v>
      </c>
    </row>
    <row r="6011" customFormat="1" spans="1:15">
      <c r="A6011">
        <v>7671</v>
      </c>
      <c r="B6011" t="s">
        <v>6299</v>
      </c>
      <c r="C6011" t="str">
        <f>"460103198912141823"</f>
        <v>460103198912141823</v>
      </c>
      <c r="D6011" t="str">
        <f>"248030404205"</f>
        <v>248030404205</v>
      </c>
      <c r="L6011">
        <v>7671</v>
      </c>
      <c r="M6011" t="s">
        <v>6299</v>
      </c>
      <c r="N6011" t="str">
        <f>"248030404205"</f>
        <v>248030404205</v>
      </c>
      <c r="O6011" t="str">
        <f>"460103198912141823"</f>
        <v>460103198912141823</v>
      </c>
    </row>
    <row r="6012" customFormat="1" spans="1:15">
      <c r="A6012">
        <v>7672</v>
      </c>
      <c r="B6012" t="s">
        <v>6300</v>
      </c>
      <c r="C6012" t="str">
        <f>"460300199309080321"</f>
        <v>460300199309080321</v>
      </c>
      <c r="D6012" t="str">
        <f>"248030500917"</f>
        <v>248030500917</v>
      </c>
      <c r="L6012">
        <v>7672</v>
      </c>
      <c r="M6012" t="s">
        <v>6300</v>
      </c>
      <c r="N6012" t="str">
        <f>"248030500917"</f>
        <v>248030500917</v>
      </c>
      <c r="O6012" t="str">
        <f>"460300199309080321"</f>
        <v>460300199309080321</v>
      </c>
    </row>
    <row r="6013" customFormat="1" spans="1:15">
      <c r="A6013">
        <v>7674</v>
      </c>
      <c r="B6013" t="s">
        <v>6301</v>
      </c>
      <c r="C6013" t="str">
        <f>"460005200010190025"</f>
        <v>460005200010190025</v>
      </c>
      <c r="D6013" t="str">
        <f>"248030403212"</f>
        <v>248030403212</v>
      </c>
      <c r="L6013">
        <v>7674</v>
      </c>
      <c r="M6013" t="s">
        <v>6301</v>
      </c>
      <c r="N6013" t="str">
        <f>"248030403212"</f>
        <v>248030403212</v>
      </c>
      <c r="O6013" t="str">
        <f>"460005200010190025"</f>
        <v>460005200010190025</v>
      </c>
    </row>
    <row r="6014" customFormat="1" spans="1:15">
      <c r="A6014">
        <v>7676</v>
      </c>
      <c r="B6014" t="s">
        <v>6302</v>
      </c>
      <c r="C6014" t="str">
        <f>"460002199101090340"</f>
        <v>460002199101090340</v>
      </c>
      <c r="D6014" t="str">
        <f>"248030503006"</f>
        <v>248030503006</v>
      </c>
      <c r="L6014">
        <v>7676</v>
      </c>
      <c r="M6014" t="s">
        <v>6302</v>
      </c>
      <c r="N6014" t="str">
        <f>"248030503006"</f>
        <v>248030503006</v>
      </c>
      <c r="O6014" t="str">
        <f>"460002199101090340"</f>
        <v>460002199101090340</v>
      </c>
    </row>
    <row r="6015" customFormat="1" spans="1:15">
      <c r="A6015">
        <v>7677</v>
      </c>
      <c r="B6015" t="s">
        <v>6303</v>
      </c>
      <c r="C6015" t="str">
        <f>"469023200202082927"</f>
        <v>469023200202082927</v>
      </c>
      <c r="D6015" t="str">
        <f>"248030401326"</f>
        <v>248030401326</v>
      </c>
      <c r="L6015">
        <v>7677</v>
      </c>
      <c r="M6015" t="s">
        <v>6303</v>
      </c>
      <c r="N6015" t="str">
        <f>"248030401326"</f>
        <v>248030401326</v>
      </c>
      <c r="O6015" t="str">
        <f>"469023200202082927"</f>
        <v>469023200202082927</v>
      </c>
    </row>
    <row r="6016" customFormat="1" spans="1:15">
      <c r="A6016">
        <v>7679</v>
      </c>
      <c r="B6016" t="s">
        <v>496</v>
      </c>
      <c r="C6016" t="str">
        <f>"420503199910015267"</f>
        <v>420503199910015267</v>
      </c>
      <c r="D6016" t="str">
        <f>"248030500506"</f>
        <v>248030500506</v>
      </c>
      <c r="L6016">
        <v>7679</v>
      </c>
      <c r="M6016" t="s">
        <v>496</v>
      </c>
      <c r="N6016" t="str">
        <f>"248030500506"</f>
        <v>248030500506</v>
      </c>
      <c r="O6016" t="str">
        <f>"420503199910015267"</f>
        <v>420503199910015267</v>
      </c>
    </row>
    <row r="6017" customFormat="1" spans="1:15">
      <c r="A6017">
        <v>7680</v>
      </c>
      <c r="B6017" t="s">
        <v>6304</v>
      </c>
      <c r="C6017" t="str">
        <f>"469023199510052329"</f>
        <v>469023199510052329</v>
      </c>
      <c r="D6017" t="str">
        <f>"248030203224"</f>
        <v>248030203224</v>
      </c>
      <c r="L6017">
        <v>7680</v>
      </c>
      <c r="M6017" t="s">
        <v>6304</v>
      </c>
      <c r="N6017" t="str">
        <f>"248030203224"</f>
        <v>248030203224</v>
      </c>
      <c r="O6017" t="str">
        <f>"469023199510052329"</f>
        <v>469023199510052329</v>
      </c>
    </row>
    <row r="6018" customFormat="1" spans="1:15">
      <c r="A6018">
        <v>7681</v>
      </c>
      <c r="B6018" t="s">
        <v>6305</v>
      </c>
      <c r="C6018" t="str">
        <f>"460028200112083217"</f>
        <v>460028200112083217</v>
      </c>
      <c r="D6018" t="str">
        <f>"248030102720"</f>
        <v>248030102720</v>
      </c>
      <c r="L6018">
        <v>7681</v>
      </c>
      <c r="M6018" t="s">
        <v>6305</v>
      </c>
      <c r="N6018" t="str">
        <f>"248030102720"</f>
        <v>248030102720</v>
      </c>
      <c r="O6018" t="str">
        <f>"460028200112083217"</f>
        <v>460028200112083217</v>
      </c>
    </row>
    <row r="6019" customFormat="1" spans="1:15">
      <c r="A6019">
        <v>7682</v>
      </c>
      <c r="B6019" t="s">
        <v>6306</v>
      </c>
      <c r="C6019" t="str">
        <f>"460027199707012969"</f>
        <v>460027199707012969</v>
      </c>
      <c r="D6019" t="str">
        <f>"248030400123"</f>
        <v>248030400123</v>
      </c>
      <c r="L6019">
        <v>7682</v>
      </c>
      <c r="M6019" t="s">
        <v>6306</v>
      </c>
      <c r="N6019" t="str">
        <f>"248030400123"</f>
        <v>248030400123</v>
      </c>
      <c r="O6019" t="str">
        <f>"460027199707012969"</f>
        <v>460027199707012969</v>
      </c>
    </row>
    <row r="6020" customFormat="1" spans="1:15">
      <c r="A6020">
        <v>7683</v>
      </c>
      <c r="B6020" t="s">
        <v>6307</v>
      </c>
      <c r="C6020" t="str">
        <f>"460033199708074835"</f>
        <v>460033199708074835</v>
      </c>
      <c r="D6020" t="str">
        <f>"248030104927"</f>
        <v>248030104927</v>
      </c>
      <c r="L6020">
        <v>7683</v>
      </c>
      <c r="M6020" t="s">
        <v>6307</v>
      </c>
      <c r="N6020" t="str">
        <f>"248030104927"</f>
        <v>248030104927</v>
      </c>
      <c r="O6020" t="str">
        <f>"460033199708074835"</f>
        <v>460033199708074835</v>
      </c>
    </row>
    <row r="6021" customFormat="1" spans="1:15">
      <c r="A6021">
        <v>7684</v>
      </c>
      <c r="B6021" t="s">
        <v>6308</v>
      </c>
      <c r="C6021" t="str">
        <f>"460103199906160029"</f>
        <v>460103199906160029</v>
      </c>
      <c r="D6021" t="str">
        <f>"248030200415"</f>
        <v>248030200415</v>
      </c>
      <c r="L6021">
        <v>7684</v>
      </c>
      <c r="M6021" t="s">
        <v>6308</v>
      </c>
      <c r="N6021" t="str">
        <f>"248030200415"</f>
        <v>248030200415</v>
      </c>
      <c r="O6021" t="str">
        <f>"460103199906160029"</f>
        <v>460103199906160029</v>
      </c>
    </row>
    <row r="6022" customFormat="1" spans="1:15">
      <c r="A6022">
        <v>7686</v>
      </c>
      <c r="B6022" t="s">
        <v>6309</v>
      </c>
      <c r="C6022" t="str">
        <f>"230602199908214420"</f>
        <v>230602199908214420</v>
      </c>
      <c r="D6022" t="str">
        <f>"248030100815"</f>
        <v>248030100815</v>
      </c>
      <c r="L6022">
        <v>7686</v>
      </c>
      <c r="M6022" t="s">
        <v>6309</v>
      </c>
      <c r="N6022" t="str">
        <f>"248030100815"</f>
        <v>248030100815</v>
      </c>
      <c r="O6022" t="str">
        <f>"230602199908214420"</f>
        <v>230602199908214420</v>
      </c>
    </row>
    <row r="6023" customFormat="1" spans="1:15">
      <c r="A6023">
        <v>7687</v>
      </c>
      <c r="B6023" t="s">
        <v>6310</v>
      </c>
      <c r="C6023" t="str">
        <f>"460004200011070045"</f>
        <v>460004200011070045</v>
      </c>
      <c r="D6023" t="str">
        <f>"248030104928"</f>
        <v>248030104928</v>
      </c>
      <c r="L6023">
        <v>7687</v>
      </c>
      <c r="M6023" t="s">
        <v>6310</v>
      </c>
      <c r="N6023" t="str">
        <f>"248030104928"</f>
        <v>248030104928</v>
      </c>
      <c r="O6023" t="str">
        <f>"460004200011070045"</f>
        <v>460004200011070045</v>
      </c>
    </row>
    <row r="6024" customFormat="1" spans="1:15">
      <c r="A6024">
        <v>7688</v>
      </c>
      <c r="B6024" t="s">
        <v>6311</v>
      </c>
      <c r="C6024" t="str">
        <f>"460102199509061514"</f>
        <v>460102199509061514</v>
      </c>
      <c r="D6024" t="str">
        <f>"248030400206"</f>
        <v>248030400206</v>
      </c>
      <c r="L6024">
        <v>7688</v>
      </c>
      <c r="M6024" t="s">
        <v>6311</v>
      </c>
      <c r="N6024" t="str">
        <f>"248030400206"</f>
        <v>248030400206</v>
      </c>
      <c r="O6024" t="str">
        <f>"460102199509061514"</f>
        <v>460102199509061514</v>
      </c>
    </row>
    <row r="6025" customFormat="1" spans="1:15">
      <c r="A6025">
        <v>7689</v>
      </c>
      <c r="B6025" t="s">
        <v>6312</v>
      </c>
      <c r="C6025" t="str">
        <f>"460027199208204720"</f>
        <v>460027199208204720</v>
      </c>
      <c r="D6025" t="str">
        <f>"248030301913"</f>
        <v>248030301913</v>
      </c>
      <c r="L6025">
        <v>7689</v>
      </c>
      <c r="M6025" t="s">
        <v>6312</v>
      </c>
      <c r="N6025" t="str">
        <f>"248030301913"</f>
        <v>248030301913</v>
      </c>
      <c r="O6025" t="str">
        <f>"460027199208204720"</f>
        <v>460027199208204720</v>
      </c>
    </row>
    <row r="6026" customFormat="1" spans="1:15">
      <c r="A6026">
        <v>7690</v>
      </c>
      <c r="B6026" t="s">
        <v>6313</v>
      </c>
      <c r="C6026" t="str">
        <f>"460005200205046429"</f>
        <v>460005200205046429</v>
      </c>
      <c r="L6026">
        <v>7690</v>
      </c>
      <c r="M6026" t="s">
        <v>6313</v>
      </c>
      <c r="O6026" t="str">
        <f>"460005200205046429"</f>
        <v>460005200205046429</v>
      </c>
    </row>
    <row r="6027" customFormat="1" spans="1:15">
      <c r="A6027">
        <v>7691</v>
      </c>
      <c r="B6027" t="s">
        <v>6314</v>
      </c>
      <c r="C6027" t="str">
        <f>"210904199305172028"</f>
        <v>210904199305172028</v>
      </c>
      <c r="D6027" t="str">
        <f>"248030201505"</f>
        <v>248030201505</v>
      </c>
      <c r="L6027">
        <v>7691</v>
      </c>
      <c r="M6027" t="s">
        <v>6314</v>
      </c>
      <c r="N6027" t="str">
        <f>"248030201505"</f>
        <v>248030201505</v>
      </c>
      <c r="O6027" t="str">
        <f>"210904199305172028"</f>
        <v>210904199305172028</v>
      </c>
    </row>
    <row r="6028" customFormat="1" spans="1:15">
      <c r="A6028">
        <v>7692</v>
      </c>
      <c r="B6028" t="s">
        <v>6315</v>
      </c>
      <c r="C6028" t="str">
        <f>"469024200012247221"</f>
        <v>469024200012247221</v>
      </c>
      <c r="D6028" t="str">
        <f>"248030302118"</f>
        <v>248030302118</v>
      </c>
      <c r="L6028">
        <v>7692</v>
      </c>
      <c r="M6028" t="s">
        <v>6315</v>
      </c>
      <c r="N6028" t="str">
        <f>"248030302118"</f>
        <v>248030302118</v>
      </c>
      <c r="O6028" t="str">
        <f>"469024200012247221"</f>
        <v>469024200012247221</v>
      </c>
    </row>
    <row r="6029" customFormat="1" spans="1:15">
      <c r="A6029">
        <v>7693</v>
      </c>
      <c r="B6029" t="s">
        <v>6316</v>
      </c>
      <c r="C6029" t="str">
        <f>"469024200104092829"</f>
        <v>469024200104092829</v>
      </c>
      <c r="L6029">
        <v>7693</v>
      </c>
      <c r="M6029" t="s">
        <v>6316</v>
      </c>
      <c r="O6029" t="str">
        <f>"469024200104092829"</f>
        <v>469024200104092829</v>
      </c>
    </row>
    <row r="6030" customFormat="1" spans="1:15">
      <c r="A6030">
        <v>7696</v>
      </c>
      <c r="B6030" t="s">
        <v>6317</v>
      </c>
      <c r="C6030" t="str">
        <f>"460006199707182384"</f>
        <v>460006199707182384</v>
      </c>
      <c r="D6030" t="str">
        <f>"248030203726"</f>
        <v>248030203726</v>
      </c>
      <c r="L6030">
        <v>7696</v>
      </c>
      <c r="M6030" t="s">
        <v>6317</v>
      </c>
      <c r="N6030" t="str">
        <f>"248030203726"</f>
        <v>248030203726</v>
      </c>
      <c r="O6030" t="str">
        <f>"460006199707182384"</f>
        <v>460006199707182384</v>
      </c>
    </row>
    <row r="6031" customFormat="1" spans="1:15">
      <c r="A6031">
        <v>7698</v>
      </c>
      <c r="B6031" t="s">
        <v>6318</v>
      </c>
      <c r="C6031" t="str">
        <f>"460103199012081540"</f>
        <v>460103199012081540</v>
      </c>
      <c r="D6031" t="str">
        <f>"248030301421"</f>
        <v>248030301421</v>
      </c>
      <c r="L6031">
        <v>7698</v>
      </c>
      <c r="M6031" t="s">
        <v>6318</v>
      </c>
      <c r="N6031" t="str">
        <f>"248030301421"</f>
        <v>248030301421</v>
      </c>
      <c r="O6031" t="str">
        <f>"460103199012081540"</f>
        <v>460103199012081540</v>
      </c>
    </row>
    <row r="6032" customFormat="1" spans="1:15">
      <c r="A6032">
        <v>7699</v>
      </c>
      <c r="B6032" t="s">
        <v>6319</v>
      </c>
      <c r="C6032" t="str">
        <f>"460028199506220899"</f>
        <v>460028199506220899</v>
      </c>
      <c r="L6032">
        <v>7699</v>
      </c>
      <c r="M6032" t="s">
        <v>6319</v>
      </c>
      <c r="O6032" t="str">
        <f>"460028199506220899"</f>
        <v>460028199506220899</v>
      </c>
    </row>
    <row r="6033" customFormat="1" spans="1:15">
      <c r="A6033">
        <v>7700</v>
      </c>
      <c r="B6033" t="s">
        <v>6320</v>
      </c>
      <c r="C6033" t="str">
        <f>"460200199807124440"</f>
        <v>460200199807124440</v>
      </c>
      <c r="D6033" t="str">
        <f>"248030100721"</f>
        <v>248030100721</v>
      </c>
      <c r="L6033">
        <v>7700</v>
      </c>
      <c r="M6033" t="s">
        <v>6320</v>
      </c>
      <c r="N6033" t="str">
        <f>"248030100721"</f>
        <v>248030100721</v>
      </c>
      <c r="O6033" t="str">
        <f>"460200199807124440"</f>
        <v>460200199807124440</v>
      </c>
    </row>
    <row r="6034" customFormat="1" spans="1:15">
      <c r="A6034">
        <v>7701</v>
      </c>
      <c r="B6034" t="s">
        <v>6321</v>
      </c>
      <c r="C6034" t="str">
        <f>"460007199409225784"</f>
        <v>460007199409225784</v>
      </c>
      <c r="L6034">
        <v>7701</v>
      </c>
      <c r="M6034" t="s">
        <v>6321</v>
      </c>
      <c r="O6034" t="str">
        <f>"460007199409225784"</f>
        <v>460007199409225784</v>
      </c>
    </row>
    <row r="6035" customFormat="1" spans="1:15">
      <c r="A6035">
        <v>7703</v>
      </c>
      <c r="B6035" t="s">
        <v>6322</v>
      </c>
      <c r="C6035" t="str">
        <f>"46900720001127722X"</f>
        <v>46900720001127722X</v>
      </c>
      <c r="D6035" t="str">
        <f>"248030301509"</f>
        <v>248030301509</v>
      </c>
      <c r="L6035">
        <v>7703</v>
      </c>
      <c r="M6035" t="s">
        <v>6322</v>
      </c>
      <c r="N6035" t="str">
        <f>"248030301509"</f>
        <v>248030301509</v>
      </c>
      <c r="O6035" t="str">
        <f>"46900720001127722X"</f>
        <v>46900720001127722X</v>
      </c>
    </row>
    <row r="6036" customFormat="1" spans="1:15">
      <c r="A6036">
        <v>7704</v>
      </c>
      <c r="B6036" t="s">
        <v>6323</v>
      </c>
      <c r="C6036" t="str">
        <f>"469021200207023026"</f>
        <v>469021200207023026</v>
      </c>
      <c r="D6036" t="str">
        <f>"248030503408"</f>
        <v>248030503408</v>
      </c>
      <c r="L6036">
        <v>7704</v>
      </c>
      <c r="M6036" t="s">
        <v>6323</v>
      </c>
      <c r="N6036" t="str">
        <f>"248030503408"</f>
        <v>248030503408</v>
      </c>
      <c r="O6036" t="str">
        <f>"469021200207023026"</f>
        <v>469021200207023026</v>
      </c>
    </row>
    <row r="6037" customFormat="1" spans="1:15">
      <c r="A6037">
        <v>7706</v>
      </c>
      <c r="B6037" t="s">
        <v>613</v>
      </c>
      <c r="C6037" t="str">
        <f>"460200199309160529"</f>
        <v>460200199309160529</v>
      </c>
      <c r="D6037" t="str">
        <f>"248030104107"</f>
        <v>248030104107</v>
      </c>
      <c r="L6037">
        <v>7706</v>
      </c>
      <c r="M6037" t="s">
        <v>613</v>
      </c>
      <c r="N6037" t="str">
        <f>"248030104107"</f>
        <v>248030104107</v>
      </c>
      <c r="O6037" t="str">
        <f>"460200199309160529"</f>
        <v>460200199309160529</v>
      </c>
    </row>
    <row r="6038" customFormat="1" spans="1:15">
      <c r="A6038">
        <v>7707</v>
      </c>
      <c r="B6038" t="s">
        <v>6324</v>
      </c>
      <c r="C6038" t="str">
        <f>"460027199811256226"</f>
        <v>460027199811256226</v>
      </c>
      <c r="L6038">
        <v>7707</v>
      </c>
      <c r="M6038" t="s">
        <v>6324</v>
      </c>
      <c r="O6038" t="str">
        <f>"460027199811256226"</f>
        <v>460027199811256226</v>
      </c>
    </row>
    <row r="6039" customFormat="1" spans="1:15">
      <c r="A6039">
        <v>7708</v>
      </c>
      <c r="B6039" t="s">
        <v>6325</v>
      </c>
      <c r="C6039" t="str">
        <f>"533522200110131027"</f>
        <v>533522200110131027</v>
      </c>
      <c r="D6039" t="str">
        <f>"248030100122"</f>
        <v>248030100122</v>
      </c>
      <c r="L6039">
        <v>7708</v>
      </c>
      <c r="M6039" t="s">
        <v>6325</v>
      </c>
      <c r="N6039" t="str">
        <f>"248030100122"</f>
        <v>248030100122</v>
      </c>
      <c r="O6039" t="str">
        <f>"533522200110131027"</f>
        <v>533522200110131027</v>
      </c>
    </row>
    <row r="6040" customFormat="1" spans="1:15">
      <c r="A6040">
        <v>7709</v>
      </c>
      <c r="B6040" t="s">
        <v>6326</v>
      </c>
      <c r="C6040" t="str">
        <f>"460003200012026015"</f>
        <v>460003200012026015</v>
      </c>
      <c r="L6040">
        <v>7709</v>
      </c>
      <c r="M6040" t="s">
        <v>6326</v>
      </c>
      <c r="O6040" t="str">
        <f>"460003200012026015"</f>
        <v>460003200012026015</v>
      </c>
    </row>
    <row r="6041" customFormat="1" spans="1:15">
      <c r="A6041">
        <v>7710</v>
      </c>
      <c r="B6041" t="s">
        <v>6327</v>
      </c>
      <c r="C6041" t="str">
        <f>"460104199405040025"</f>
        <v>460104199405040025</v>
      </c>
      <c r="L6041">
        <v>7710</v>
      </c>
      <c r="M6041" t="s">
        <v>6327</v>
      </c>
      <c r="O6041" t="str">
        <f>"460104199405040025"</f>
        <v>460104199405040025</v>
      </c>
    </row>
    <row r="6042" customFormat="1" spans="1:15">
      <c r="A6042">
        <v>7711</v>
      </c>
      <c r="B6042" t="s">
        <v>662</v>
      </c>
      <c r="C6042" t="str">
        <f>"460003200206213820"</f>
        <v>460003200206213820</v>
      </c>
      <c r="D6042" t="str">
        <f>"248030102925"</f>
        <v>248030102925</v>
      </c>
      <c r="L6042">
        <v>7711</v>
      </c>
      <c r="M6042" t="s">
        <v>662</v>
      </c>
      <c r="N6042" t="str">
        <f>"248030102925"</f>
        <v>248030102925</v>
      </c>
      <c r="O6042" t="str">
        <f>"460003200206213820"</f>
        <v>460003200206213820</v>
      </c>
    </row>
    <row r="6043" customFormat="1" spans="1:15">
      <c r="A6043">
        <v>7712</v>
      </c>
      <c r="B6043" t="s">
        <v>6328</v>
      </c>
      <c r="C6043" t="str">
        <f>"460006199607121613"</f>
        <v>460006199607121613</v>
      </c>
      <c r="D6043" t="str">
        <f>"248030201514"</f>
        <v>248030201514</v>
      </c>
      <c r="L6043">
        <v>7712</v>
      </c>
      <c r="M6043" t="s">
        <v>6328</v>
      </c>
      <c r="N6043" t="str">
        <f>"248030201514"</f>
        <v>248030201514</v>
      </c>
      <c r="O6043" t="str">
        <f>"460006199607121613"</f>
        <v>460006199607121613</v>
      </c>
    </row>
    <row r="6044" customFormat="1" spans="1:15">
      <c r="A6044">
        <v>7713</v>
      </c>
      <c r="B6044" t="s">
        <v>6329</v>
      </c>
      <c r="C6044" t="str">
        <f>"460105199904227528"</f>
        <v>460105199904227528</v>
      </c>
      <c r="L6044">
        <v>7713</v>
      </c>
      <c r="M6044" t="s">
        <v>6329</v>
      </c>
      <c r="O6044" t="str">
        <f>"460105199904227528"</f>
        <v>460105199904227528</v>
      </c>
    </row>
    <row r="6045" customFormat="1" spans="1:15">
      <c r="A6045">
        <v>7714</v>
      </c>
      <c r="B6045" t="s">
        <v>6330</v>
      </c>
      <c r="C6045" t="str">
        <f>"430726199805223926"</f>
        <v>430726199805223926</v>
      </c>
      <c r="D6045" t="str">
        <f>"248030502102"</f>
        <v>248030502102</v>
      </c>
      <c r="L6045">
        <v>7714</v>
      </c>
      <c r="M6045" t="s">
        <v>6330</v>
      </c>
      <c r="N6045" t="str">
        <f>"248030502102"</f>
        <v>248030502102</v>
      </c>
      <c r="O6045" t="str">
        <f>"430726199805223926"</f>
        <v>430726199805223926</v>
      </c>
    </row>
    <row r="6046" customFormat="1" spans="1:15">
      <c r="A6046">
        <v>7715</v>
      </c>
      <c r="B6046" t="s">
        <v>6331</v>
      </c>
      <c r="C6046" t="str">
        <f>"460025199911020920"</f>
        <v>460025199911020920</v>
      </c>
      <c r="D6046" t="str">
        <f>"248030503107"</f>
        <v>248030503107</v>
      </c>
      <c r="L6046">
        <v>7715</v>
      </c>
      <c r="M6046" t="s">
        <v>6331</v>
      </c>
      <c r="N6046" t="str">
        <f>"248030503107"</f>
        <v>248030503107</v>
      </c>
      <c r="O6046" t="str">
        <f>"460025199911020920"</f>
        <v>460025199911020920</v>
      </c>
    </row>
    <row r="6047" customFormat="1" spans="1:15">
      <c r="A6047">
        <v>7717</v>
      </c>
      <c r="B6047" t="s">
        <v>6332</v>
      </c>
      <c r="C6047" t="str">
        <f>"469005200107100020"</f>
        <v>469005200107100020</v>
      </c>
      <c r="D6047" t="str">
        <f>"248030100320"</f>
        <v>248030100320</v>
      </c>
      <c r="L6047">
        <v>7717</v>
      </c>
      <c r="M6047" t="s">
        <v>6332</v>
      </c>
      <c r="N6047" t="str">
        <f>"248030100320"</f>
        <v>248030100320</v>
      </c>
      <c r="O6047" t="str">
        <f>"469005200107100020"</f>
        <v>469005200107100020</v>
      </c>
    </row>
    <row r="6048" customFormat="1" spans="1:15">
      <c r="A6048">
        <v>7718</v>
      </c>
      <c r="B6048" t="s">
        <v>6333</v>
      </c>
      <c r="C6048" t="str">
        <f>"460102199408310921"</f>
        <v>460102199408310921</v>
      </c>
      <c r="D6048" t="str">
        <f>"248030101327"</f>
        <v>248030101327</v>
      </c>
      <c r="L6048">
        <v>7718</v>
      </c>
      <c r="M6048" t="s">
        <v>6333</v>
      </c>
      <c r="N6048" t="str">
        <f>"248030101327"</f>
        <v>248030101327</v>
      </c>
      <c r="O6048" t="str">
        <f>"460102199408310921"</f>
        <v>460102199408310921</v>
      </c>
    </row>
    <row r="6049" customFormat="1" spans="1:15">
      <c r="A6049">
        <v>7719</v>
      </c>
      <c r="B6049" t="s">
        <v>6334</v>
      </c>
      <c r="C6049" t="str">
        <f>"460028199504056845"</f>
        <v>460028199504056845</v>
      </c>
      <c r="D6049" t="str">
        <f>"248030403805"</f>
        <v>248030403805</v>
      </c>
      <c r="L6049">
        <v>7719</v>
      </c>
      <c r="M6049" t="s">
        <v>6334</v>
      </c>
      <c r="N6049" t="str">
        <f>"248030403805"</f>
        <v>248030403805</v>
      </c>
      <c r="O6049" t="str">
        <f>"460028199504056845"</f>
        <v>460028199504056845</v>
      </c>
    </row>
    <row r="6050" customFormat="1" spans="1:15">
      <c r="A6050">
        <v>7720</v>
      </c>
      <c r="B6050" t="s">
        <v>6335</v>
      </c>
      <c r="C6050" t="str">
        <f>"460033199703180014"</f>
        <v>460033199703180014</v>
      </c>
      <c r="L6050">
        <v>7720</v>
      </c>
      <c r="M6050" t="s">
        <v>6335</v>
      </c>
      <c r="O6050" t="str">
        <f>"460033199703180014"</f>
        <v>460033199703180014</v>
      </c>
    </row>
    <row r="6051" customFormat="1" spans="1:15">
      <c r="A6051">
        <v>7721</v>
      </c>
      <c r="B6051" t="s">
        <v>6336</v>
      </c>
      <c r="C6051" t="str">
        <f>"460025199201062747"</f>
        <v>460025199201062747</v>
      </c>
      <c r="D6051" t="str">
        <f>"248030500308"</f>
        <v>248030500308</v>
      </c>
      <c r="L6051">
        <v>7721</v>
      </c>
      <c r="M6051" t="s">
        <v>6336</v>
      </c>
      <c r="N6051" t="str">
        <f>"248030500308"</f>
        <v>248030500308</v>
      </c>
      <c r="O6051" t="str">
        <f>"460025199201062747"</f>
        <v>460025199201062747</v>
      </c>
    </row>
    <row r="6052" customFormat="1" spans="1:15">
      <c r="A6052">
        <v>7722</v>
      </c>
      <c r="B6052" t="s">
        <v>6337</v>
      </c>
      <c r="C6052" t="str">
        <f>"460005199712023525"</f>
        <v>460005199712023525</v>
      </c>
      <c r="D6052" t="str">
        <f>"248030101926"</f>
        <v>248030101926</v>
      </c>
      <c r="L6052">
        <v>7722</v>
      </c>
      <c r="M6052" t="s">
        <v>6337</v>
      </c>
      <c r="N6052" t="str">
        <f>"248030101926"</f>
        <v>248030101926</v>
      </c>
      <c r="O6052" t="str">
        <f>"460005199712023525"</f>
        <v>460005199712023525</v>
      </c>
    </row>
    <row r="6053" customFormat="1" spans="1:15">
      <c r="A6053">
        <v>7723</v>
      </c>
      <c r="B6053" t="s">
        <v>2089</v>
      </c>
      <c r="C6053" t="str">
        <f>"46000720010811762X"</f>
        <v>46000720010811762X</v>
      </c>
      <c r="D6053" t="str">
        <f>"248030203901"</f>
        <v>248030203901</v>
      </c>
      <c r="L6053">
        <v>7723</v>
      </c>
      <c r="M6053" t="s">
        <v>2089</v>
      </c>
      <c r="N6053" t="str">
        <f>"248030203901"</f>
        <v>248030203901</v>
      </c>
      <c r="O6053" t="str">
        <f>"46000720010811762X"</f>
        <v>46000720010811762X</v>
      </c>
    </row>
    <row r="6054" customFormat="1" spans="1:15">
      <c r="A6054">
        <v>7724</v>
      </c>
      <c r="B6054" t="s">
        <v>6338</v>
      </c>
      <c r="C6054" t="str">
        <f>"460004198705010418"</f>
        <v>460004198705010418</v>
      </c>
      <c r="L6054">
        <v>7724</v>
      </c>
      <c r="M6054" t="s">
        <v>6338</v>
      </c>
      <c r="O6054" t="str">
        <f>"460004198705010418"</f>
        <v>460004198705010418</v>
      </c>
    </row>
    <row r="6055" customFormat="1" spans="1:15">
      <c r="A6055">
        <v>7725</v>
      </c>
      <c r="B6055" t="s">
        <v>6339</v>
      </c>
      <c r="C6055" t="str">
        <f>"460107199701143423"</f>
        <v>460107199701143423</v>
      </c>
      <c r="D6055" t="str">
        <f>"248030504218"</f>
        <v>248030504218</v>
      </c>
      <c r="L6055">
        <v>7725</v>
      </c>
      <c r="M6055" t="s">
        <v>6339</v>
      </c>
      <c r="N6055" t="str">
        <f>"248030504218"</f>
        <v>248030504218</v>
      </c>
      <c r="O6055" t="str">
        <f>"460107199701143423"</f>
        <v>460107199701143423</v>
      </c>
    </row>
    <row r="6056" customFormat="1" spans="1:15">
      <c r="A6056">
        <v>7726</v>
      </c>
      <c r="B6056" t="s">
        <v>6340</v>
      </c>
      <c r="C6056" t="str">
        <f>"460026199603161234"</f>
        <v>460026199603161234</v>
      </c>
      <c r="L6056">
        <v>7726</v>
      </c>
      <c r="M6056" t="s">
        <v>6340</v>
      </c>
      <c r="O6056" t="str">
        <f>"460026199603161234"</f>
        <v>460026199603161234</v>
      </c>
    </row>
    <row r="6057" customFormat="1" spans="1:15">
      <c r="A6057">
        <v>7727</v>
      </c>
      <c r="B6057" t="s">
        <v>562</v>
      </c>
      <c r="C6057" t="str">
        <f>"460006199512062921"</f>
        <v>460006199512062921</v>
      </c>
      <c r="D6057" t="str">
        <f>"248030202804"</f>
        <v>248030202804</v>
      </c>
      <c r="L6057">
        <v>7727</v>
      </c>
      <c r="M6057" t="s">
        <v>562</v>
      </c>
      <c r="N6057" t="str">
        <f>"248030202804"</f>
        <v>248030202804</v>
      </c>
      <c r="O6057" t="str">
        <f>"460006199512062921"</f>
        <v>460006199512062921</v>
      </c>
    </row>
    <row r="6058" customFormat="1" spans="1:15">
      <c r="A6058">
        <v>7728</v>
      </c>
      <c r="B6058" t="s">
        <v>6341</v>
      </c>
      <c r="C6058" t="str">
        <f>"460102199807232422"</f>
        <v>460102199807232422</v>
      </c>
      <c r="L6058">
        <v>7728</v>
      </c>
      <c r="M6058" t="s">
        <v>6341</v>
      </c>
      <c r="O6058" t="str">
        <f>"460102199807232422"</f>
        <v>460102199807232422</v>
      </c>
    </row>
    <row r="6059" customFormat="1" spans="1:15">
      <c r="A6059">
        <v>7729</v>
      </c>
      <c r="B6059" t="s">
        <v>6342</v>
      </c>
      <c r="C6059" t="str">
        <f>"460004199909294429"</f>
        <v>460004199909294429</v>
      </c>
      <c r="L6059">
        <v>7729</v>
      </c>
      <c r="M6059" t="s">
        <v>6342</v>
      </c>
      <c r="O6059" t="str">
        <f>"460004199909294429"</f>
        <v>460004199909294429</v>
      </c>
    </row>
    <row r="6060" customFormat="1" spans="1:15">
      <c r="A6060">
        <v>7730</v>
      </c>
      <c r="B6060" t="s">
        <v>6343</v>
      </c>
      <c r="C6060" t="str">
        <f>"460002199410132524"</f>
        <v>460002199410132524</v>
      </c>
      <c r="L6060">
        <v>7730</v>
      </c>
      <c r="M6060" t="s">
        <v>6343</v>
      </c>
      <c r="O6060" t="str">
        <f>"460002199410132524"</f>
        <v>460002199410132524</v>
      </c>
    </row>
    <row r="6061" customFormat="1" spans="1:15">
      <c r="A6061">
        <v>7731</v>
      </c>
      <c r="B6061" t="s">
        <v>6344</v>
      </c>
      <c r="C6061" t="str">
        <f>"460026199411040622"</f>
        <v>460026199411040622</v>
      </c>
      <c r="D6061" t="str">
        <f>"248030400114"</f>
        <v>248030400114</v>
      </c>
      <c r="L6061">
        <v>7731</v>
      </c>
      <c r="M6061" t="s">
        <v>6344</v>
      </c>
      <c r="N6061" t="str">
        <f>"248030400114"</f>
        <v>248030400114</v>
      </c>
      <c r="O6061" t="str">
        <f>"460026199411040622"</f>
        <v>460026199411040622</v>
      </c>
    </row>
    <row r="6062" customFormat="1" spans="1:15">
      <c r="A6062">
        <v>7732</v>
      </c>
      <c r="B6062" t="s">
        <v>6345</v>
      </c>
      <c r="C6062" t="str">
        <f>"469023199508142341"</f>
        <v>469023199508142341</v>
      </c>
      <c r="D6062" t="str">
        <f>"248030500916"</f>
        <v>248030500916</v>
      </c>
      <c r="L6062">
        <v>7732</v>
      </c>
      <c r="M6062" t="s">
        <v>6345</v>
      </c>
      <c r="N6062" t="str">
        <f>"248030500916"</f>
        <v>248030500916</v>
      </c>
      <c r="O6062" t="str">
        <f>"469023199508142341"</f>
        <v>469023199508142341</v>
      </c>
    </row>
    <row r="6063" customFormat="1" spans="1:15">
      <c r="A6063">
        <v>7733</v>
      </c>
      <c r="B6063" t="s">
        <v>6346</v>
      </c>
      <c r="C6063" t="str">
        <f>"230822199307016847"</f>
        <v>230822199307016847</v>
      </c>
      <c r="D6063" t="str">
        <f>"248030401601"</f>
        <v>248030401601</v>
      </c>
      <c r="L6063">
        <v>7733</v>
      </c>
      <c r="M6063" t="s">
        <v>6346</v>
      </c>
      <c r="N6063" t="str">
        <f>"248030401601"</f>
        <v>248030401601</v>
      </c>
      <c r="O6063" t="str">
        <f>"230822199307016847"</f>
        <v>230822199307016847</v>
      </c>
    </row>
    <row r="6064" customFormat="1" spans="1:15">
      <c r="A6064">
        <v>7735</v>
      </c>
      <c r="B6064" t="s">
        <v>6347</v>
      </c>
      <c r="C6064" t="str">
        <f>"460028199204142848"</f>
        <v>460028199204142848</v>
      </c>
      <c r="D6064" t="str">
        <f>"248030402708"</f>
        <v>248030402708</v>
      </c>
      <c r="L6064">
        <v>7735</v>
      </c>
      <c r="M6064" t="s">
        <v>6347</v>
      </c>
      <c r="N6064" t="str">
        <f>"248030402708"</f>
        <v>248030402708</v>
      </c>
      <c r="O6064" t="str">
        <f>"460028199204142848"</f>
        <v>460028199204142848</v>
      </c>
    </row>
    <row r="6065" customFormat="1" spans="1:15">
      <c r="A6065">
        <v>7736</v>
      </c>
      <c r="B6065" t="s">
        <v>6348</v>
      </c>
      <c r="C6065" t="str">
        <f>"460035199902110927"</f>
        <v>460035199902110927</v>
      </c>
      <c r="D6065" t="str">
        <f>"248030300509"</f>
        <v>248030300509</v>
      </c>
      <c r="L6065">
        <v>7736</v>
      </c>
      <c r="M6065" t="s">
        <v>6348</v>
      </c>
      <c r="N6065" t="str">
        <f>"248030300509"</f>
        <v>248030300509</v>
      </c>
      <c r="O6065" t="str">
        <f>"460035199902110927"</f>
        <v>460035199902110927</v>
      </c>
    </row>
    <row r="6066" customFormat="1" spans="1:15">
      <c r="A6066">
        <v>7737</v>
      </c>
      <c r="B6066" t="s">
        <v>6349</v>
      </c>
      <c r="C6066" t="str">
        <f>"460005200001154524"</f>
        <v>460005200001154524</v>
      </c>
      <c r="D6066" t="str">
        <f>"248030300410"</f>
        <v>248030300410</v>
      </c>
      <c r="L6066">
        <v>7737</v>
      </c>
      <c r="M6066" t="s">
        <v>6349</v>
      </c>
      <c r="N6066" t="str">
        <f>"248030300410"</f>
        <v>248030300410</v>
      </c>
      <c r="O6066" t="str">
        <f>"460005200001154524"</f>
        <v>460005200001154524</v>
      </c>
    </row>
    <row r="6067" customFormat="1" spans="1:15">
      <c r="A6067">
        <v>7738</v>
      </c>
      <c r="B6067" t="s">
        <v>6350</v>
      </c>
      <c r="C6067" t="str">
        <f>"460104198909011522"</f>
        <v>460104198909011522</v>
      </c>
      <c r="L6067">
        <v>7738</v>
      </c>
      <c r="M6067" t="s">
        <v>6350</v>
      </c>
      <c r="O6067" t="str">
        <f>"460104198909011522"</f>
        <v>460104198909011522</v>
      </c>
    </row>
    <row r="6068" customFormat="1" spans="1:15">
      <c r="A6068">
        <v>7739</v>
      </c>
      <c r="B6068" t="s">
        <v>6351</v>
      </c>
      <c r="C6068" t="str">
        <f>"230184200101280665"</f>
        <v>230184200101280665</v>
      </c>
      <c r="D6068" t="str">
        <f>"248030103018"</f>
        <v>248030103018</v>
      </c>
      <c r="L6068">
        <v>7739</v>
      </c>
      <c r="M6068" t="s">
        <v>6351</v>
      </c>
      <c r="N6068" t="str">
        <f>"248030103018"</f>
        <v>248030103018</v>
      </c>
      <c r="O6068" t="str">
        <f>"230184200101280665"</f>
        <v>230184200101280665</v>
      </c>
    </row>
    <row r="6069" customFormat="1" spans="1:15">
      <c r="A6069">
        <v>7740</v>
      </c>
      <c r="B6069" t="s">
        <v>271</v>
      </c>
      <c r="C6069" t="str">
        <f>"460003199905280648"</f>
        <v>460003199905280648</v>
      </c>
      <c r="D6069" t="str">
        <f>"248030503214"</f>
        <v>248030503214</v>
      </c>
      <c r="L6069">
        <v>7740</v>
      </c>
      <c r="M6069" t="s">
        <v>271</v>
      </c>
      <c r="N6069" t="str">
        <f>"248030503214"</f>
        <v>248030503214</v>
      </c>
      <c r="O6069" t="str">
        <f>"460003199905280648"</f>
        <v>460003199905280648</v>
      </c>
    </row>
    <row r="6070" customFormat="1" spans="1:15">
      <c r="A6070">
        <v>7741</v>
      </c>
      <c r="B6070" t="s">
        <v>6352</v>
      </c>
      <c r="C6070" t="str">
        <f>"460006199704232729"</f>
        <v>460006199704232729</v>
      </c>
      <c r="D6070" t="str">
        <f>"248030502707"</f>
        <v>248030502707</v>
      </c>
      <c r="L6070">
        <v>7741</v>
      </c>
      <c r="M6070" t="s">
        <v>6352</v>
      </c>
      <c r="N6070" t="str">
        <f>"248030502707"</f>
        <v>248030502707</v>
      </c>
      <c r="O6070" t="str">
        <f>"460006199704232729"</f>
        <v>460006199704232729</v>
      </c>
    </row>
    <row r="6071" customFormat="1" spans="1:15">
      <c r="A6071">
        <v>7742</v>
      </c>
      <c r="B6071" t="s">
        <v>680</v>
      </c>
      <c r="C6071" t="str">
        <f>"450821198706231229"</f>
        <v>450821198706231229</v>
      </c>
      <c r="D6071" t="str">
        <f>"248030301118"</f>
        <v>248030301118</v>
      </c>
      <c r="L6071">
        <v>7742</v>
      </c>
      <c r="M6071" t="s">
        <v>680</v>
      </c>
      <c r="N6071" t="str">
        <f>"248030301118"</f>
        <v>248030301118</v>
      </c>
      <c r="O6071" t="str">
        <f>"450821198706231229"</f>
        <v>450821198706231229</v>
      </c>
    </row>
    <row r="6072" customFormat="1" spans="1:15">
      <c r="A6072">
        <v>7743</v>
      </c>
      <c r="B6072" t="s">
        <v>6353</v>
      </c>
      <c r="C6072" t="str">
        <f>"430181200010146266"</f>
        <v>430181200010146266</v>
      </c>
      <c r="D6072" t="str">
        <f>"248030401125"</f>
        <v>248030401125</v>
      </c>
      <c r="L6072">
        <v>7743</v>
      </c>
      <c r="M6072" t="s">
        <v>6353</v>
      </c>
      <c r="N6072" t="str">
        <f>"248030401125"</f>
        <v>248030401125</v>
      </c>
      <c r="O6072" t="str">
        <f>"430181200010146266"</f>
        <v>430181200010146266</v>
      </c>
    </row>
    <row r="6073" customFormat="1" spans="1:15">
      <c r="A6073">
        <v>7744</v>
      </c>
      <c r="B6073" t="s">
        <v>6354</v>
      </c>
      <c r="C6073" t="str">
        <f>"460033199406013308"</f>
        <v>460033199406013308</v>
      </c>
      <c r="D6073" t="str">
        <f>"248030203706"</f>
        <v>248030203706</v>
      </c>
      <c r="L6073">
        <v>7744</v>
      </c>
      <c r="M6073" t="s">
        <v>6354</v>
      </c>
      <c r="N6073" t="str">
        <f>"248030203706"</f>
        <v>248030203706</v>
      </c>
      <c r="O6073" t="str">
        <f>"460033199406013308"</f>
        <v>460033199406013308</v>
      </c>
    </row>
    <row r="6074" customFormat="1" spans="1:15">
      <c r="A6074">
        <v>7745</v>
      </c>
      <c r="B6074" t="s">
        <v>6355</v>
      </c>
      <c r="C6074" t="str">
        <f>"43062320000912272X"</f>
        <v>43062320000912272X</v>
      </c>
      <c r="L6074">
        <v>7745</v>
      </c>
      <c r="M6074" t="s">
        <v>6355</v>
      </c>
      <c r="O6074" t="str">
        <f>"43062320000912272X"</f>
        <v>43062320000912272X</v>
      </c>
    </row>
    <row r="6075" customFormat="1" spans="1:15">
      <c r="A6075">
        <v>7749</v>
      </c>
      <c r="B6075" t="s">
        <v>6356</v>
      </c>
      <c r="C6075" t="str">
        <f>"460102199811261269"</f>
        <v>460102199811261269</v>
      </c>
      <c r="D6075" t="str">
        <f>"248030502306"</f>
        <v>248030502306</v>
      </c>
      <c r="L6075">
        <v>7749</v>
      </c>
      <c r="M6075" t="s">
        <v>6356</v>
      </c>
      <c r="N6075" t="str">
        <f>"248030502306"</f>
        <v>248030502306</v>
      </c>
      <c r="O6075" t="str">
        <f>"460102199811261269"</f>
        <v>460102199811261269</v>
      </c>
    </row>
    <row r="6076" customFormat="1" spans="1:15">
      <c r="A6076">
        <v>7751</v>
      </c>
      <c r="B6076" t="s">
        <v>6357</v>
      </c>
      <c r="C6076" t="str">
        <f>"460004200003131426"</f>
        <v>460004200003131426</v>
      </c>
      <c r="D6076" t="str">
        <f>"248030102525"</f>
        <v>248030102525</v>
      </c>
      <c r="L6076">
        <v>7751</v>
      </c>
      <c r="M6076" t="s">
        <v>6357</v>
      </c>
      <c r="N6076" t="str">
        <f>"248030102525"</f>
        <v>248030102525</v>
      </c>
      <c r="O6076" t="str">
        <f>"460004200003131426"</f>
        <v>460004200003131426</v>
      </c>
    </row>
    <row r="6077" customFormat="1" spans="1:15">
      <c r="A6077">
        <v>7752</v>
      </c>
      <c r="B6077" t="s">
        <v>6358</v>
      </c>
      <c r="C6077" t="str">
        <f>"460033200112213211"</f>
        <v>460033200112213211</v>
      </c>
      <c r="D6077" t="str">
        <f>"248030104411"</f>
        <v>248030104411</v>
      </c>
      <c r="L6077">
        <v>7752</v>
      </c>
      <c r="M6077" t="s">
        <v>6358</v>
      </c>
      <c r="N6077" t="str">
        <f>"248030104411"</f>
        <v>248030104411</v>
      </c>
      <c r="O6077" t="str">
        <f>"460033200112213211"</f>
        <v>460033200112213211</v>
      </c>
    </row>
    <row r="6078" customFormat="1" spans="1:15">
      <c r="A6078">
        <v>7753</v>
      </c>
      <c r="B6078" t="s">
        <v>6359</v>
      </c>
      <c r="C6078" t="str">
        <f>"460003199309142628"</f>
        <v>460003199309142628</v>
      </c>
      <c r="L6078">
        <v>7753</v>
      </c>
      <c r="M6078" t="s">
        <v>6359</v>
      </c>
      <c r="O6078" t="str">
        <f>"460003199309142628"</f>
        <v>460003199309142628</v>
      </c>
    </row>
    <row r="6079" customFormat="1" spans="1:15">
      <c r="A6079">
        <v>7754</v>
      </c>
      <c r="B6079" t="s">
        <v>6360</v>
      </c>
      <c r="C6079" t="str">
        <f>"460028198910072838"</f>
        <v>460028198910072838</v>
      </c>
      <c r="D6079" t="str">
        <f>"248030402608"</f>
        <v>248030402608</v>
      </c>
      <c r="L6079">
        <v>7754</v>
      </c>
      <c r="M6079" t="s">
        <v>6360</v>
      </c>
      <c r="N6079" t="str">
        <f>"248030402608"</f>
        <v>248030402608</v>
      </c>
      <c r="O6079" t="str">
        <f>"460028198910072838"</f>
        <v>460028198910072838</v>
      </c>
    </row>
    <row r="6080" customFormat="1" spans="1:15">
      <c r="A6080">
        <v>7756</v>
      </c>
      <c r="B6080" t="s">
        <v>6361</v>
      </c>
      <c r="C6080" t="str">
        <f>"43123019980807002X"</f>
        <v>43123019980807002X</v>
      </c>
      <c r="L6080">
        <v>7756</v>
      </c>
      <c r="M6080" t="s">
        <v>6361</v>
      </c>
      <c r="O6080" t="str">
        <f>"43123019980807002X"</f>
        <v>43123019980807002X</v>
      </c>
    </row>
    <row r="6081" customFormat="1" spans="1:15">
      <c r="A6081">
        <v>7757</v>
      </c>
      <c r="B6081" t="s">
        <v>6362</v>
      </c>
      <c r="C6081" t="str">
        <f>"460007200104215804"</f>
        <v>460007200104215804</v>
      </c>
      <c r="D6081" t="str">
        <f>"248030403902"</f>
        <v>248030403902</v>
      </c>
      <c r="L6081">
        <v>7757</v>
      </c>
      <c r="M6081" t="s">
        <v>6362</v>
      </c>
      <c r="N6081" t="str">
        <f>"248030403902"</f>
        <v>248030403902</v>
      </c>
      <c r="O6081" t="str">
        <f>"460007200104215804"</f>
        <v>460007200104215804</v>
      </c>
    </row>
    <row r="6082" customFormat="1" spans="1:15">
      <c r="A6082">
        <v>7758</v>
      </c>
      <c r="B6082" t="s">
        <v>6363</v>
      </c>
      <c r="C6082" t="str">
        <f>"460200199804225369"</f>
        <v>460200199804225369</v>
      </c>
      <c r="D6082" t="str">
        <f>"248030503222"</f>
        <v>248030503222</v>
      </c>
      <c r="L6082">
        <v>7758</v>
      </c>
      <c r="M6082" t="s">
        <v>6363</v>
      </c>
      <c r="N6082" t="str">
        <f>"248030503222"</f>
        <v>248030503222</v>
      </c>
      <c r="O6082" t="str">
        <f>"460200199804225369"</f>
        <v>460200199804225369</v>
      </c>
    </row>
    <row r="6083" customFormat="1" spans="1:15">
      <c r="A6083">
        <v>7759</v>
      </c>
      <c r="B6083" t="s">
        <v>6364</v>
      </c>
      <c r="C6083" t="str">
        <f>"460002199703253223"</f>
        <v>460002199703253223</v>
      </c>
      <c r="D6083" t="str">
        <f>"248030101506"</f>
        <v>248030101506</v>
      </c>
      <c r="L6083">
        <v>7759</v>
      </c>
      <c r="M6083" t="s">
        <v>6364</v>
      </c>
      <c r="N6083" t="str">
        <f>"248030101506"</f>
        <v>248030101506</v>
      </c>
      <c r="O6083" t="str">
        <f>"460002199703253223"</f>
        <v>460002199703253223</v>
      </c>
    </row>
    <row r="6084" customFormat="1" spans="1:15">
      <c r="A6084">
        <v>7761</v>
      </c>
      <c r="B6084" t="s">
        <v>171</v>
      </c>
      <c r="C6084" t="str">
        <f>"420101198507247528"</f>
        <v>420101198507247528</v>
      </c>
      <c r="D6084" t="str">
        <f>"248030501028"</f>
        <v>248030501028</v>
      </c>
      <c r="L6084">
        <v>7761</v>
      </c>
      <c r="M6084" t="s">
        <v>171</v>
      </c>
      <c r="N6084" t="str">
        <f>"248030501028"</f>
        <v>248030501028</v>
      </c>
      <c r="O6084" t="str">
        <f>"420101198507247528"</f>
        <v>420101198507247528</v>
      </c>
    </row>
    <row r="6085" customFormat="1" spans="1:15">
      <c r="A6085">
        <v>7762</v>
      </c>
      <c r="B6085" t="s">
        <v>6365</v>
      </c>
      <c r="C6085" t="str">
        <f>"460200199204085120"</f>
        <v>460200199204085120</v>
      </c>
      <c r="D6085" t="str">
        <f>"248030501312"</f>
        <v>248030501312</v>
      </c>
      <c r="L6085">
        <v>7762</v>
      </c>
      <c r="M6085" t="s">
        <v>6365</v>
      </c>
      <c r="N6085" t="str">
        <f>"248030501312"</f>
        <v>248030501312</v>
      </c>
      <c r="O6085" t="str">
        <f>"460200199204085120"</f>
        <v>460200199204085120</v>
      </c>
    </row>
    <row r="6086" customFormat="1" spans="1:15">
      <c r="A6086">
        <v>7763</v>
      </c>
      <c r="B6086" t="s">
        <v>6366</v>
      </c>
      <c r="C6086" t="str">
        <f>"46002719970501002X"</f>
        <v>46002719970501002X</v>
      </c>
      <c r="D6086" t="str">
        <f>"248030500216"</f>
        <v>248030500216</v>
      </c>
      <c r="L6086">
        <v>7763</v>
      </c>
      <c r="M6086" t="s">
        <v>6366</v>
      </c>
      <c r="N6086" t="str">
        <f>"248030500216"</f>
        <v>248030500216</v>
      </c>
      <c r="O6086" t="str">
        <f>"46002719970501002X"</f>
        <v>46002719970501002X</v>
      </c>
    </row>
    <row r="6087" customFormat="1" spans="1:15">
      <c r="A6087">
        <v>7764</v>
      </c>
      <c r="B6087" t="s">
        <v>6367</v>
      </c>
      <c r="C6087" t="str">
        <f>"460004199804020624"</f>
        <v>460004199804020624</v>
      </c>
      <c r="D6087" t="str">
        <f>"248030401419"</f>
        <v>248030401419</v>
      </c>
      <c r="L6087">
        <v>7764</v>
      </c>
      <c r="M6087" t="s">
        <v>6367</v>
      </c>
      <c r="N6087" t="str">
        <f>"248030401419"</f>
        <v>248030401419</v>
      </c>
      <c r="O6087" t="str">
        <f>"460004199804020624"</f>
        <v>460004199804020624</v>
      </c>
    </row>
    <row r="6088" customFormat="1" spans="1:15">
      <c r="A6088">
        <v>7765</v>
      </c>
      <c r="B6088" t="s">
        <v>6368</v>
      </c>
      <c r="C6088" t="str">
        <f>"46000320020910462X"</f>
        <v>46000320020910462X</v>
      </c>
      <c r="D6088" t="str">
        <f>"248030402429"</f>
        <v>248030402429</v>
      </c>
      <c r="L6088">
        <v>7765</v>
      </c>
      <c r="M6088" t="s">
        <v>6368</v>
      </c>
      <c r="N6088" t="str">
        <f>"248030402429"</f>
        <v>248030402429</v>
      </c>
      <c r="O6088" t="str">
        <f>"46000320020910462X"</f>
        <v>46000320020910462X</v>
      </c>
    </row>
    <row r="6089" customFormat="1" spans="1:15">
      <c r="A6089">
        <v>7766</v>
      </c>
      <c r="B6089" t="s">
        <v>6369</v>
      </c>
      <c r="C6089" t="str">
        <f>"46003319900524448X"</f>
        <v>46003319900524448X</v>
      </c>
      <c r="D6089" t="str">
        <f>"248030301513"</f>
        <v>248030301513</v>
      </c>
      <c r="L6089">
        <v>7766</v>
      </c>
      <c r="M6089" t="s">
        <v>6369</v>
      </c>
      <c r="N6089" t="str">
        <f>"248030301513"</f>
        <v>248030301513</v>
      </c>
      <c r="O6089" t="str">
        <f>"46003319900524448X"</f>
        <v>46003319900524448X</v>
      </c>
    </row>
    <row r="6090" customFormat="1" spans="1:15">
      <c r="A6090">
        <v>7767</v>
      </c>
      <c r="B6090" t="s">
        <v>6370</v>
      </c>
      <c r="C6090" t="str">
        <f>"460034199410260041"</f>
        <v>460034199410260041</v>
      </c>
      <c r="D6090" t="str">
        <f>"248030103313"</f>
        <v>248030103313</v>
      </c>
      <c r="L6090">
        <v>7767</v>
      </c>
      <c r="M6090" t="s">
        <v>6370</v>
      </c>
      <c r="N6090" t="str">
        <f>"248030103313"</f>
        <v>248030103313</v>
      </c>
      <c r="O6090" t="str">
        <f>"460034199410260041"</f>
        <v>460034199410260041</v>
      </c>
    </row>
    <row r="6091" customFormat="1" spans="1:15">
      <c r="A6091">
        <v>7768</v>
      </c>
      <c r="B6091" t="s">
        <v>227</v>
      </c>
      <c r="C6091" t="str">
        <f>"130103198603251248"</f>
        <v>130103198603251248</v>
      </c>
      <c r="D6091" t="str">
        <f>"248030400918"</f>
        <v>248030400918</v>
      </c>
      <c r="L6091">
        <v>7768</v>
      </c>
      <c r="M6091" t="s">
        <v>227</v>
      </c>
      <c r="N6091" t="str">
        <f>"248030400918"</f>
        <v>248030400918</v>
      </c>
      <c r="O6091" t="str">
        <f>"130103198603251248"</f>
        <v>130103198603251248</v>
      </c>
    </row>
    <row r="6092" customFormat="1" spans="1:15">
      <c r="A6092">
        <v>7769</v>
      </c>
      <c r="B6092" t="s">
        <v>6371</v>
      </c>
      <c r="C6092" t="str">
        <f>"460102200104170929"</f>
        <v>460102200104170929</v>
      </c>
      <c r="D6092" t="str">
        <f>"248030301808"</f>
        <v>248030301808</v>
      </c>
      <c r="L6092">
        <v>7769</v>
      </c>
      <c r="M6092" t="s">
        <v>6371</v>
      </c>
      <c r="N6092" t="str">
        <f>"248030301808"</f>
        <v>248030301808</v>
      </c>
      <c r="O6092" t="str">
        <f>"460102200104170929"</f>
        <v>460102200104170929</v>
      </c>
    </row>
    <row r="6093" customFormat="1" spans="1:15">
      <c r="A6093">
        <v>7770</v>
      </c>
      <c r="B6093" t="s">
        <v>6372</v>
      </c>
      <c r="C6093" t="str">
        <f>"460034199804250022"</f>
        <v>460034199804250022</v>
      </c>
      <c r="L6093">
        <v>7770</v>
      </c>
      <c r="M6093" t="s">
        <v>6372</v>
      </c>
      <c r="O6093" t="str">
        <f>"460034199804250022"</f>
        <v>460034199804250022</v>
      </c>
    </row>
    <row r="6094" customFormat="1" spans="1:15">
      <c r="A6094">
        <v>7772</v>
      </c>
      <c r="B6094" t="s">
        <v>6373</v>
      </c>
      <c r="C6094" t="str">
        <f>"460005199808286418"</f>
        <v>460005199808286418</v>
      </c>
      <c r="D6094" t="str">
        <f>"248030103022"</f>
        <v>248030103022</v>
      </c>
      <c r="L6094">
        <v>7772</v>
      </c>
      <c r="M6094" t="s">
        <v>6373</v>
      </c>
      <c r="N6094" t="str">
        <f>"248030103022"</f>
        <v>248030103022</v>
      </c>
      <c r="O6094" t="str">
        <f>"460005199808286418"</f>
        <v>460005199808286418</v>
      </c>
    </row>
    <row r="6095" customFormat="1" spans="1:15">
      <c r="A6095">
        <v>7773</v>
      </c>
      <c r="B6095" t="s">
        <v>6374</v>
      </c>
      <c r="C6095" t="str">
        <f>"46902320010515292X"</f>
        <v>46902320010515292X</v>
      </c>
      <c r="D6095" t="str">
        <f>"248030301303"</f>
        <v>248030301303</v>
      </c>
      <c r="L6095">
        <v>7773</v>
      </c>
      <c r="M6095" t="s">
        <v>6374</v>
      </c>
      <c r="N6095" t="str">
        <f>"248030301303"</f>
        <v>248030301303</v>
      </c>
      <c r="O6095" t="str">
        <f>"46902320010515292X"</f>
        <v>46902320010515292X</v>
      </c>
    </row>
    <row r="6096" customFormat="1" spans="1:15">
      <c r="A6096">
        <v>7775</v>
      </c>
      <c r="B6096" t="s">
        <v>6375</v>
      </c>
      <c r="C6096" t="str">
        <f>"46002520020930032X"</f>
        <v>46002520020930032X</v>
      </c>
      <c r="D6096" t="str">
        <f>"248030401428"</f>
        <v>248030401428</v>
      </c>
      <c r="L6096">
        <v>7775</v>
      </c>
      <c r="M6096" t="s">
        <v>6375</v>
      </c>
      <c r="N6096" t="str">
        <f>"248030401428"</f>
        <v>248030401428</v>
      </c>
      <c r="O6096" t="str">
        <f>"46002520020930032X"</f>
        <v>46002520020930032X</v>
      </c>
    </row>
    <row r="6097" customFormat="1" spans="1:15">
      <c r="A6097">
        <v>7777</v>
      </c>
      <c r="B6097" t="s">
        <v>6376</v>
      </c>
      <c r="C6097" t="str">
        <f>"469023200112285659"</f>
        <v>469023200112285659</v>
      </c>
      <c r="D6097" t="str">
        <f>"248030201429"</f>
        <v>248030201429</v>
      </c>
      <c r="L6097">
        <v>7777</v>
      </c>
      <c r="M6097" t="s">
        <v>6376</v>
      </c>
      <c r="N6097" t="str">
        <f>"248030201429"</f>
        <v>248030201429</v>
      </c>
      <c r="O6097" t="str">
        <f>"469023200112285659"</f>
        <v>469023200112285659</v>
      </c>
    </row>
    <row r="6098" customFormat="1" spans="1:15">
      <c r="A6098">
        <v>7780</v>
      </c>
      <c r="B6098" t="s">
        <v>6377</v>
      </c>
      <c r="C6098" t="str">
        <f>"469029199902113029"</f>
        <v>469029199902113029</v>
      </c>
      <c r="D6098" t="str">
        <f>"248030100301"</f>
        <v>248030100301</v>
      </c>
      <c r="L6098">
        <v>7780</v>
      </c>
      <c r="M6098" t="s">
        <v>6377</v>
      </c>
      <c r="N6098" t="str">
        <f>"248030100301"</f>
        <v>248030100301</v>
      </c>
      <c r="O6098" t="str">
        <f>"469029199902113029"</f>
        <v>469029199902113029</v>
      </c>
    </row>
    <row r="6099" customFormat="1" spans="1:15">
      <c r="A6099">
        <v>7781</v>
      </c>
      <c r="B6099" t="s">
        <v>6378</v>
      </c>
      <c r="C6099" t="str">
        <f>"460028200009122441"</f>
        <v>460028200009122441</v>
      </c>
      <c r="D6099" t="str">
        <f>"248030100205"</f>
        <v>248030100205</v>
      </c>
      <c r="L6099">
        <v>7781</v>
      </c>
      <c r="M6099" t="s">
        <v>6378</v>
      </c>
      <c r="N6099" t="str">
        <f>"248030100205"</f>
        <v>248030100205</v>
      </c>
      <c r="O6099" t="str">
        <f>"460028200009122441"</f>
        <v>460028200009122441</v>
      </c>
    </row>
    <row r="6100" customFormat="1" spans="1:15">
      <c r="A6100">
        <v>7782</v>
      </c>
      <c r="B6100" t="s">
        <v>6379</v>
      </c>
      <c r="C6100" t="str">
        <f>"460027199809196631"</f>
        <v>460027199809196631</v>
      </c>
      <c r="D6100" t="str">
        <f>"248030201817"</f>
        <v>248030201817</v>
      </c>
      <c r="L6100">
        <v>7782</v>
      </c>
      <c r="M6100" t="s">
        <v>6379</v>
      </c>
      <c r="N6100" t="str">
        <f>"248030201817"</f>
        <v>248030201817</v>
      </c>
      <c r="O6100" t="str">
        <f>"460027199809196631"</f>
        <v>460027199809196631</v>
      </c>
    </row>
    <row r="6101" customFormat="1" spans="1:15">
      <c r="A6101">
        <v>7783</v>
      </c>
      <c r="B6101" t="s">
        <v>6380</v>
      </c>
      <c r="C6101" t="str">
        <f>"460027200007196221"</f>
        <v>460027200007196221</v>
      </c>
      <c r="D6101" t="str">
        <f>"248030301403"</f>
        <v>248030301403</v>
      </c>
      <c r="L6101">
        <v>7783</v>
      </c>
      <c r="M6101" t="s">
        <v>6380</v>
      </c>
      <c r="N6101" t="str">
        <f>"248030301403"</f>
        <v>248030301403</v>
      </c>
      <c r="O6101" t="str">
        <f>"460027200007196221"</f>
        <v>460027200007196221</v>
      </c>
    </row>
    <row r="6102" customFormat="1" spans="1:15">
      <c r="A6102">
        <v>7785</v>
      </c>
      <c r="B6102" t="s">
        <v>6381</v>
      </c>
      <c r="C6102" t="str">
        <f>"460026199512252421"</f>
        <v>460026199512252421</v>
      </c>
      <c r="D6102" t="str">
        <f>"248030500926"</f>
        <v>248030500926</v>
      </c>
      <c r="L6102">
        <v>7785</v>
      </c>
      <c r="M6102" t="s">
        <v>6381</v>
      </c>
      <c r="N6102" t="str">
        <f>"248030500926"</f>
        <v>248030500926</v>
      </c>
      <c r="O6102" t="str">
        <f>"460026199512252421"</f>
        <v>460026199512252421</v>
      </c>
    </row>
    <row r="6103" customFormat="1" spans="1:15">
      <c r="A6103">
        <v>7786</v>
      </c>
      <c r="B6103" t="s">
        <v>6382</v>
      </c>
      <c r="C6103" t="str">
        <f>"460026199803073044"</f>
        <v>460026199803073044</v>
      </c>
      <c r="D6103" t="str">
        <f>"248030401423"</f>
        <v>248030401423</v>
      </c>
      <c r="L6103">
        <v>7786</v>
      </c>
      <c r="M6103" t="s">
        <v>6382</v>
      </c>
      <c r="N6103" t="str">
        <f>"248030401423"</f>
        <v>248030401423</v>
      </c>
      <c r="O6103" t="str">
        <f>"460026199803073044"</f>
        <v>460026199803073044</v>
      </c>
    </row>
    <row r="6104" customFormat="1" spans="1:15">
      <c r="A6104">
        <v>7788</v>
      </c>
      <c r="B6104" t="s">
        <v>6383</v>
      </c>
      <c r="C6104" t="str">
        <f>"460004199903170222"</f>
        <v>460004199903170222</v>
      </c>
      <c r="D6104" t="str">
        <f>"248030101503"</f>
        <v>248030101503</v>
      </c>
      <c r="L6104">
        <v>7788</v>
      </c>
      <c r="M6104" t="s">
        <v>6383</v>
      </c>
      <c r="N6104" t="str">
        <f>"248030101503"</f>
        <v>248030101503</v>
      </c>
      <c r="O6104" t="str">
        <f>"460004199903170222"</f>
        <v>460004199903170222</v>
      </c>
    </row>
    <row r="6105" customFormat="1" spans="1:15">
      <c r="A6105">
        <v>7789</v>
      </c>
      <c r="B6105" t="s">
        <v>6384</v>
      </c>
      <c r="C6105" t="str">
        <f>"460028200001206827"</f>
        <v>460028200001206827</v>
      </c>
      <c r="D6105" t="str">
        <f>"248030300906"</f>
        <v>248030300906</v>
      </c>
      <c r="L6105">
        <v>7789</v>
      </c>
      <c r="M6105" t="s">
        <v>6384</v>
      </c>
      <c r="N6105" t="str">
        <f>"248030300906"</f>
        <v>248030300906</v>
      </c>
      <c r="O6105" t="str">
        <f>"460028200001206827"</f>
        <v>460028200001206827</v>
      </c>
    </row>
    <row r="6106" customFormat="1" spans="1:15">
      <c r="A6106">
        <v>7790</v>
      </c>
      <c r="B6106" t="s">
        <v>720</v>
      </c>
      <c r="C6106" t="str">
        <f>"46000420000429522X"</f>
        <v>46000420000429522X</v>
      </c>
      <c r="D6106" t="str">
        <f>"248030301814"</f>
        <v>248030301814</v>
      </c>
      <c r="L6106">
        <v>7790</v>
      </c>
      <c r="M6106" t="s">
        <v>720</v>
      </c>
      <c r="N6106" t="str">
        <f>"248030301814"</f>
        <v>248030301814</v>
      </c>
      <c r="O6106" t="str">
        <f>"46000420000429522X"</f>
        <v>46000420000429522X</v>
      </c>
    </row>
    <row r="6107" customFormat="1" spans="1:15">
      <c r="A6107">
        <v>7792</v>
      </c>
      <c r="B6107" t="s">
        <v>6385</v>
      </c>
      <c r="C6107" t="str">
        <f>"460027199305111024"</f>
        <v>460027199305111024</v>
      </c>
      <c r="L6107">
        <v>7792</v>
      </c>
      <c r="M6107" t="s">
        <v>6385</v>
      </c>
      <c r="O6107" t="str">
        <f>"460027199305111024"</f>
        <v>460027199305111024</v>
      </c>
    </row>
    <row r="6108" customFormat="1" spans="1:15">
      <c r="A6108">
        <v>7793</v>
      </c>
      <c r="B6108" t="s">
        <v>6386</v>
      </c>
      <c r="C6108" t="str">
        <f>"220182199106291160"</f>
        <v>220182199106291160</v>
      </c>
      <c r="D6108" t="str">
        <f>"248030302224"</f>
        <v>248030302224</v>
      </c>
      <c r="L6108">
        <v>7793</v>
      </c>
      <c r="M6108" t="s">
        <v>6386</v>
      </c>
      <c r="N6108" t="str">
        <f>"248030302224"</f>
        <v>248030302224</v>
      </c>
      <c r="O6108" t="str">
        <f>"220182199106291160"</f>
        <v>220182199106291160</v>
      </c>
    </row>
    <row r="6109" customFormat="1" spans="1:15">
      <c r="A6109">
        <v>7794</v>
      </c>
      <c r="B6109" t="s">
        <v>6387</v>
      </c>
      <c r="C6109" t="str">
        <f>"460004200009111848"</f>
        <v>460004200009111848</v>
      </c>
      <c r="D6109" t="str">
        <f>"248030504222"</f>
        <v>248030504222</v>
      </c>
      <c r="L6109">
        <v>7794</v>
      </c>
      <c r="M6109" t="s">
        <v>6387</v>
      </c>
      <c r="N6109" t="str">
        <f>"248030504222"</f>
        <v>248030504222</v>
      </c>
      <c r="O6109" t="str">
        <f>"460004200009111848"</f>
        <v>460004200009111848</v>
      </c>
    </row>
    <row r="6110" customFormat="1" spans="1:15">
      <c r="A6110">
        <v>7795</v>
      </c>
      <c r="B6110" t="s">
        <v>6388</v>
      </c>
      <c r="C6110" t="str">
        <f>"460027199606067047"</f>
        <v>460027199606067047</v>
      </c>
      <c r="D6110" t="str">
        <f>"248030104704"</f>
        <v>248030104704</v>
      </c>
      <c r="L6110">
        <v>7795</v>
      </c>
      <c r="M6110" t="s">
        <v>6388</v>
      </c>
      <c r="N6110" t="str">
        <f>"248030104704"</f>
        <v>248030104704</v>
      </c>
      <c r="O6110" t="str">
        <f>"460027199606067047"</f>
        <v>460027199606067047</v>
      </c>
    </row>
    <row r="6111" customFormat="1" spans="1:15">
      <c r="A6111">
        <v>7797</v>
      </c>
      <c r="B6111" t="s">
        <v>6389</v>
      </c>
      <c r="C6111" t="str">
        <f>"460034200111280021"</f>
        <v>460034200111280021</v>
      </c>
      <c r="L6111">
        <v>7797</v>
      </c>
      <c r="M6111" t="s">
        <v>6389</v>
      </c>
      <c r="O6111" t="str">
        <f>"460034200111280021"</f>
        <v>460034200111280021</v>
      </c>
    </row>
    <row r="6112" customFormat="1" spans="1:15">
      <c r="A6112">
        <v>7798</v>
      </c>
      <c r="B6112" t="s">
        <v>6390</v>
      </c>
      <c r="C6112" t="str">
        <f>"460028199112081320"</f>
        <v>460028199112081320</v>
      </c>
      <c r="L6112">
        <v>7798</v>
      </c>
      <c r="M6112" t="s">
        <v>6390</v>
      </c>
      <c r="O6112" t="str">
        <f>"460028199112081320"</f>
        <v>460028199112081320</v>
      </c>
    </row>
    <row r="6113" customFormat="1" spans="1:15">
      <c r="A6113">
        <v>7799</v>
      </c>
      <c r="B6113" t="s">
        <v>6391</v>
      </c>
      <c r="C6113" t="str">
        <f>"460102199309050327"</f>
        <v>460102199309050327</v>
      </c>
      <c r="D6113" t="str">
        <f>"248030501310"</f>
        <v>248030501310</v>
      </c>
      <c r="L6113">
        <v>7799</v>
      </c>
      <c r="M6113" t="s">
        <v>6391</v>
      </c>
      <c r="N6113" t="str">
        <f>"248030501310"</f>
        <v>248030501310</v>
      </c>
      <c r="O6113" t="str">
        <f>"460102199309050327"</f>
        <v>460102199309050327</v>
      </c>
    </row>
    <row r="6114" customFormat="1" spans="1:15">
      <c r="A6114">
        <v>7800</v>
      </c>
      <c r="B6114" t="s">
        <v>6392</v>
      </c>
      <c r="C6114" t="str">
        <f>"460007199709010865"</f>
        <v>460007199709010865</v>
      </c>
      <c r="D6114" t="str">
        <f>"248030200608"</f>
        <v>248030200608</v>
      </c>
      <c r="L6114">
        <v>7800</v>
      </c>
      <c r="M6114" t="s">
        <v>6392</v>
      </c>
      <c r="N6114" t="str">
        <f>"248030200608"</f>
        <v>248030200608</v>
      </c>
      <c r="O6114" t="str">
        <f>"460007199709010865"</f>
        <v>460007199709010865</v>
      </c>
    </row>
    <row r="6115" customFormat="1" spans="1:15">
      <c r="A6115">
        <v>7801</v>
      </c>
      <c r="B6115" t="s">
        <v>6393</v>
      </c>
      <c r="C6115" t="str">
        <f>"61040319980520252X"</f>
        <v>61040319980520252X</v>
      </c>
      <c r="D6115" t="str">
        <f>"248030403311"</f>
        <v>248030403311</v>
      </c>
      <c r="L6115">
        <v>7801</v>
      </c>
      <c r="M6115" t="s">
        <v>6393</v>
      </c>
      <c r="N6115" t="str">
        <f>"248030403311"</f>
        <v>248030403311</v>
      </c>
      <c r="O6115" t="str">
        <f>"61040319980520252X"</f>
        <v>61040319980520252X</v>
      </c>
    </row>
    <row r="6116" customFormat="1" spans="1:15">
      <c r="A6116">
        <v>7803</v>
      </c>
      <c r="B6116" t="s">
        <v>6394</v>
      </c>
      <c r="C6116" t="str">
        <f>"460005199906143525"</f>
        <v>460005199906143525</v>
      </c>
      <c r="D6116" t="str">
        <f>"248030104213"</f>
        <v>248030104213</v>
      </c>
      <c r="L6116">
        <v>7803</v>
      </c>
      <c r="M6116" t="s">
        <v>6394</v>
      </c>
      <c r="N6116" t="str">
        <f>"248030104213"</f>
        <v>248030104213</v>
      </c>
      <c r="O6116" t="str">
        <f>"460005199906143525"</f>
        <v>460005199906143525</v>
      </c>
    </row>
    <row r="6117" customFormat="1" spans="1:15">
      <c r="A6117">
        <v>7804</v>
      </c>
      <c r="B6117" t="s">
        <v>318</v>
      </c>
      <c r="C6117" t="str">
        <f>"460002200005300024"</f>
        <v>460002200005300024</v>
      </c>
      <c r="D6117" t="str">
        <f>"248030301302"</f>
        <v>248030301302</v>
      </c>
      <c r="L6117">
        <v>7804</v>
      </c>
      <c r="M6117" t="s">
        <v>318</v>
      </c>
      <c r="N6117" t="str">
        <f>"248030301302"</f>
        <v>248030301302</v>
      </c>
      <c r="O6117" t="str">
        <f>"460002200005300024"</f>
        <v>460002200005300024</v>
      </c>
    </row>
    <row r="6118" customFormat="1" spans="1:15">
      <c r="A6118">
        <v>7805</v>
      </c>
      <c r="B6118" t="s">
        <v>6395</v>
      </c>
      <c r="C6118" t="str">
        <f>"431224199302264700"</f>
        <v>431224199302264700</v>
      </c>
      <c r="D6118" t="str">
        <f>"248030503404"</f>
        <v>248030503404</v>
      </c>
      <c r="L6118">
        <v>7805</v>
      </c>
      <c r="M6118" t="s">
        <v>6395</v>
      </c>
      <c r="N6118" t="str">
        <f>"248030503404"</f>
        <v>248030503404</v>
      </c>
      <c r="O6118" t="str">
        <f>"431224199302264700"</f>
        <v>431224199302264700</v>
      </c>
    </row>
    <row r="6119" customFormat="1" spans="1:15">
      <c r="A6119">
        <v>7806</v>
      </c>
      <c r="B6119" t="s">
        <v>6396</v>
      </c>
      <c r="C6119" t="str">
        <f>"460028199803070049"</f>
        <v>460028199803070049</v>
      </c>
      <c r="D6119" t="str">
        <f>"248030301902"</f>
        <v>248030301902</v>
      </c>
      <c r="L6119">
        <v>7806</v>
      </c>
      <c r="M6119" t="s">
        <v>6396</v>
      </c>
      <c r="N6119" t="str">
        <f>"248030301902"</f>
        <v>248030301902</v>
      </c>
      <c r="O6119" t="str">
        <f>"460028199803070049"</f>
        <v>460028199803070049</v>
      </c>
    </row>
    <row r="6120" customFormat="1" spans="1:15">
      <c r="A6120">
        <v>7807</v>
      </c>
      <c r="B6120" t="s">
        <v>6397</v>
      </c>
      <c r="C6120" t="str">
        <f>"460028198901173231"</f>
        <v>460028198901173231</v>
      </c>
      <c r="D6120" t="str">
        <f>"248030300616"</f>
        <v>248030300616</v>
      </c>
      <c r="L6120">
        <v>7807</v>
      </c>
      <c r="M6120" t="s">
        <v>6397</v>
      </c>
      <c r="N6120" t="str">
        <f>"248030300616"</f>
        <v>248030300616</v>
      </c>
      <c r="O6120" t="str">
        <f>"460028198901173231"</f>
        <v>460028198901173231</v>
      </c>
    </row>
    <row r="6121" customFormat="1" spans="1:15">
      <c r="A6121">
        <v>7808</v>
      </c>
      <c r="B6121" t="s">
        <v>732</v>
      </c>
      <c r="C6121" t="str">
        <f>"469026199802215221"</f>
        <v>469026199802215221</v>
      </c>
      <c r="D6121" t="str">
        <f>"248030403808"</f>
        <v>248030403808</v>
      </c>
      <c r="L6121">
        <v>7808</v>
      </c>
      <c r="M6121" t="s">
        <v>732</v>
      </c>
      <c r="N6121" t="str">
        <f>"248030403808"</f>
        <v>248030403808</v>
      </c>
      <c r="O6121" t="str">
        <f>"469026199802215221"</f>
        <v>469026199802215221</v>
      </c>
    </row>
    <row r="6122" customFormat="1" spans="1:15">
      <c r="A6122">
        <v>7809</v>
      </c>
      <c r="B6122" t="s">
        <v>6398</v>
      </c>
      <c r="C6122" t="str">
        <f>"460005199705012123"</f>
        <v>460005199705012123</v>
      </c>
      <c r="L6122">
        <v>7809</v>
      </c>
      <c r="M6122" t="s">
        <v>6398</v>
      </c>
      <c r="O6122" t="str">
        <f>"460005199705012123"</f>
        <v>460005199705012123</v>
      </c>
    </row>
    <row r="6123" customFormat="1" spans="1:15">
      <c r="A6123">
        <v>7810</v>
      </c>
      <c r="B6123" t="s">
        <v>468</v>
      </c>
      <c r="C6123" t="str">
        <f>"460006199811114840"</f>
        <v>460006199811114840</v>
      </c>
      <c r="D6123" t="str">
        <f>"248030300815"</f>
        <v>248030300815</v>
      </c>
      <c r="L6123">
        <v>7810</v>
      </c>
      <c r="M6123" t="s">
        <v>468</v>
      </c>
      <c r="N6123" t="str">
        <f>"248030300815"</f>
        <v>248030300815</v>
      </c>
      <c r="O6123" t="str">
        <f>"460006199811114840"</f>
        <v>460006199811114840</v>
      </c>
    </row>
    <row r="6124" customFormat="1" spans="1:15">
      <c r="A6124">
        <v>7811</v>
      </c>
      <c r="B6124" t="s">
        <v>6399</v>
      </c>
      <c r="C6124" t="str">
        <f>"460006199802083720"</f>
        <v>460006199802083720</v>
      </c>
      <c r="D6124" t="str">
        <f>"248030502212"</f>
        <v>248030502212</v>
      </c>
      <c r="L6124">
        <v>7811</v>
      </c>
      <c r="M6124" t="s">
        <v>6399</v>
      </c>
      <c r="N6124" t="str">
        <f>"248030502212"</f>
        <v>248030502212</v>
      </c>
      <c r="O6124" t="str">
        <f>"460006199802083720"</f>
        <v>460006199802083720</v>
      </c>
    </row>
    <row r="6125" customFormat="1" spans="1:15">
      <c r="A6125">
        <v>7812</v>
      </c>
      <c r="B6125" t="s">
        <v>6400</v>
      </c>
      <c r="C6125" t="str">
        <f>"131102199609020626"</f>
        <v>131102199609020626</v>
      </c>
      <c r="D6125" t="str">
        <f>"248030500301"</f>
        <v>248030500301</v>
      </c>
      <c r="L6125">
        <v>7812</v>
      </c>
      <c r="M6125" t="s">
        <v>6400</v>
      </c>
      <c r="N6125" t="str">
        <f>"248030500301"</f>
        <v>248030500301</v>
      </c>
      <c r="O6125" t="str">
        <f>"131102199609020626"</f>
        <v>131102199609020626</v>
      </c>
    </row>
    <row r="6126" customFormat="1" spans="1:15">
      <c r="A6126">
        <v>7813</v>
      </c>
      <c r="B6126" t="s">
        <v>6401</v>
      </c>
      <c r="C6126" t="str">
        <f>"460031200107066410"</f>
        <v>460031200107066410</v>
      </c>
      <c r="D6126" t="str">
        <f>"248030203708"</f>
        <v>248030203708</v>
      </c>
      <c r="L6126">
        <v>7813</v>
      </c>
      <c r="M6126" t="s">
        <v>6401</v>
      </c>
      <c r="N6126" t="str">
        <f>"248030203708"</f>
        <v>248030203708</v>
      </c>
      <c r="O6126" t="str">
        <f>"460031200107066410"</f>
        <v>460031200107066410</v>
      </c>
    </row>
    <row r="6127" customFormat="1" spans="1:15">
      <c r="A6127">
        <v>7814</v>
      </c>
      <c r="B6127" t="s">
        <v>6402</v>
      </c>
      <c r="C6127" t="str">
        <f>"460003199608056623"</f>
        <v>460003199608056623</v>
      </c>
      <c r="L6127">
        <v>7814</v>
      </c>
      <c r="M6127" t="s">
        <v>6402</v>
      </c>
      <c r="O6127" t="str">
        <f>"460003199608056623"</f>
        <v>460003199608056623</v>
      </c>
    </row>
    <row r="6128" customFormat="1" spans="1:15">
      <c r="A6128">
        <v>7815</v>
      </c>
      <c r="B6128" t="s">
        <v>6403</v>
      </c>
      <c r="C6128" t="str">
        <f>"460006200104164844"</f>
        <v>460006200104164844</v>
      </c>
      <c r="D6128" t="str">
        <f>"248030503303"</f>
        <v>248030503303</v>
      </c>
      <c r="L6128">
        <v>7815</v>
      </c>
      <c r="M6128" t="s">
        <v>6403</v>
      </c>
      <c r="N6128" t="str">
        <f>"248030503303"</f>
        <v>248030503303</v>
      </c>
      <c r="O6128" t="str">
        <f>"460006200104164844"</f>
        <v>460006200104164844</v>
      </c>
    </row>
    <row r="6129" customFormat="1" spans="1:15">
      <c r="A6129">
        <v>7816</v>
      </c>
      <c r="B6129" t="s">
        <v>6404</v>
      </c>
      <c r="C6129" t="str">
        <f>"460002200106221026"</f>
        <v>460002200106221026</v>
      </c>
      <c r="D6129" t="str">
        <f>"248030503124"</f>
        <v>248030503124</v>
      </c>
      <c r="L6129">
        <v>7816</v>
      </c>
      <c r="M6129" t="s">
        <v>6404</v>
      </c>
      <c r="N6129" t="str">
        <f>"248030503124"</f>
        <v>248030503124</v>
      </c>
      <c r="O6129" t="str">
        <f>"460002200106221026"</f>
        <v>460002200106221026</v>
      </c>
    </row>
    <row r="6130" customFormat="1" spans="1:15">
      <c r="A6130">
        <v>7817</v>
      </c>
      <c r="B6130" t="s">
        <v>6405</v>
      </c>
      <c r="C6130" t="str">
        <f>"460006200003173127"</f>
        <v>460006200003173127</v>
      </c>
      <c r="D6130" t="str">
        <f>"248030502711"</f>
        <v>248030502711</v>
      </c>
      <c r="L6130">
        <v>7817</v>
      </c>
      <c r="M6130" t="s">
        <v>6405</v>
      </c>
      <c r="N6130" t="str">
        <f>"248030502711"</f>
        <v>248030502711</v>
      </c>
      <c r="O6130" t="str">
        <f>"460006200003173127"</f>
        <v>460006200003173127</v>
      </c>
    </row>
    <row r="6131" customFormat="1" spans="1:15">
      <c r="A6131">
        <v>7818</v>
      </c>
      <c r="B6131" t="s">
        <v>6406</v>
      </c>
      <c r="C6131" t="str">
        <f>"46000419970307042X"</f>
        <v>46000419970307042X</v>
      </c>
      <c r="D6131" t="str">
        <f>"248030104129"</f>
        <v>248030104129</v>
      </c>
      <c r="L6131">
        <v>7818</v>
      </c>
      <c r="M6131" t="s">
        <v>6406</v>
      </c>
      <c r="N6131" t="str">
        <f>"248030104129"</f>
        <v>248030104129</v>
      </c>
      <c r="O6131" t="str">
        <f>"46000419970307042X"</f>
        <v>46000419970307042X</v>
      </c>
    </row>
    <row r="6132" customFormat="1" spans="1:15">
      <c r="A6132">
        <v>7819</v>
      </c>
      <c r="B6132" t="s">
        <v>6407</v>
      </c>
      <c r="C6132" t="str">
        <f>"469023200009219012"</f>
        <v>469023200009219012</v>
      </c>
      <c r="D6132" t="str">
        <f>"248030202215"</f>
        <v>248030202215</v>
      </c>
      <c r="L6132">
        <v>7819</v>
      </c>
      <c r="M6132" t="s">
        <v>6407</v>
      </c>
      <c r="N6132" t="str">
        <f>"248030202215"</f>
        <v>248030202215</v>
      </c>
      <c r="O6132" t="str">
        <f>"469023200009219012"</f>
        <v>469023200009219012</v>
      </c>
    </row>
    <row r="6133" customFormat="1" spans="1:15">
      <c r="A6133">
        <v>7820</v>
      </c>
      <c r="B6133" t="s">
        <v>6408</v>
      </c>
      <c r="C6133" t="str">
        <f>"460034200204271511"</f>
        <v>460034200204271511</v>
      </c>
      <c r="D6133" t="str">
        <f>"248030201308"</f>
        <v>248030201308</v>
      </c>
      <c r="L6133">
        <v>7820</v>
      </c>
      <c r="M6133" t="s">
        <v>6408</v>
      </c>
      <c r="N6133" t="str">
        <f>"248030201308"</f>
        <v>248030201308</v>
      </c>
      <c r="O6133" t="str">
        <f>"460034200204271511"</f>
        <v>460034200204271511</v>
      </c>
    </row>
    <row r="6134" customFormat="1" spans="1:15">
      <c r="A6134">
        <v>7821</v>
      </c>
      <c r="B6134" t="s">
        <v>2413</v>
      </c>
      <c r="C6134" t="str">
        <f>"41092620000220242X"</f>
        <v>41092620000220242X</v>
      </c>
      <c r="D6134" t="str">
        <f>"248030503829"</f>
        <v>248030503829</v>
      </c>
      <c r="L6134">
        <v>7821</v>
      </c>
      <c r="M6134" t="s">
        <v>2413</v>
      </c>
      <c r="N6134" t="str">
        <f>"248030503829"</f>
        <v>248030503829</v>
      </c>
      <c r="O6134" t="str">
        <f>"41092620000220242X"</f>
        <v>41092620000220242X</v>
      </c>
    </row>
    <row r="6135" customFormat="1" spans="1:15">
      <c r="A6135">
        <v>7822</v>
      </c>
      <c r="B6135" t="s">
        <v>414</v>
      </c>
      <c r="C6135" t="str">
        <f>"460004199812285243"</f>
        <v>460004199812285243</v>
      </c>
      <c r="D6135" t="str">
        <f>"248030401506"</f>
        <v>248030401506</v>
      </c>
      <c r="L6135">
        <v>7822</v>
      </c>
      <c r="M6135" t="s">
        <v>414</v>
      </c>
      <c r="N6135" t="str">
        <f>"248030401506"</f>
        <v>248030401506</v>
      </c>
      <c r="O6135" t="str">
        <f>"460004199812285243"</f>
        <v>460004199812285243</v>
      </c>
    </row>
    <row r="6136" customFormat="1" spans="1:15">
      <c r="A6136">
        <v>7824</v>
      </c>
      <c r="B6136" t="s">
        <v>6409</v>
      </c>
      <c r="C6136" t="str">
        <f>"460003200112165645"</f>
        <v>460003200112165645</v>
      </c>
      <c r="D6136" t="str">
        <f>"248030100327"</f>
        <v>248030100327</v>
      </c>
      <c r="L6136">
        <v>7824</v>
      </c>
      <c r="M6136" t="s">
        <v>6409</v>
      </c>
      <c r="N6136" t="str">
        <f>"248030100327"</f>
        <v>248030100327</v>
      </c>
      <c r="O6136" t="str">
        <f>"460003200112165645"</f>
        <v>460003200112165645</v>
      </c>
    </row>
    <row r="6137" customFormat="1" spans="1:15">
      <c r="A6137">
        <v>7825</v>
      </c>
      <c r="B6137" t="s">
        <v>6410</v>
      </c>
      <c r="C6137" t="str">
        <f>"460103199307230021"</f>
        <v>460103199307230021</v>
      </c>
      <c r="D6137" t="str">
        <f>"248030101914"</f>
        <v>248030101914</v>
      </c>
      <c r="L6137">
        <v>7825</v>
      </c>
      <c r="M6137" t="s">
        <v>6410</v>
      </c>
      <c r="N6137" t="str">
        <f>"248030101914"</f>
        <v>248030101914</v>
      </c>
      <c r="O6137" t="str">
        <f>"460103199307230021"</f>
        <v>460103199307230021</v>
      </c>
    </row>
    <row r="6138" customFormat="1" spans="1:15">
      <c r="A6138">
        <v>7826</v>
      </c>
      <c r="B6138" t="s">
        <v>6411</v>
      </c>
      <c r="C6138" t="str">
        <f>"46000319950730662X"</f>
        <v>46000319950730662X</v>
      </c>
      <c r="D6138" t="str">
        <f>"248030301112"</f>
        <v>248030301112</v>
      </c>
      <c r="L6138">
        <v>7826</v>
      </c>
      <c r="M6138" t="s">
        <v>6411</v>
      </c>
      <c r="N6138" t="str">
        <f>"248030301112"</f>
        <v>248030301112</v>
      </c>
      <c r="O6138" t="str">
        <f>"46000319950730662X"</f>
        <v>46000319950730662X</v>
      </c>
    </row>
    <row r="6139" customFormat="1" spans="1:15">
      <c r="A6139">
        <v>7827</v>
      </c>
      <c r="B6139" t="s">
        <v>2643</v>
      </c>
      <c r="C6139" t="str">
        <f>"460002199707271525"</f>
        <v>460002199707271525</v>
      </c>
      <c r="D6139" t="str">
        <f>"248030502415"</f>
        <v>248030502415</v>
      </c>
      <c r="L6139">
        <v>7827</v>
      </c>
      <c r="M6139" t="s">
        <v>2643</v>
      </c>
      <c r="N6139" t="str">
        <f>"248030502415"</f>
        <v>248030502415</v>
      </c>
      <c r="O6139" t="str">
        <f>"460002199707271525"</f>
        <v>460002199707271525</v>
      </c>
    </row>
    <row r="6140" customFormat="1" spans="1:15">
      <c r="A6140">
        <v>7828</v>
      </c>
      <c r="B6140" t="s">
        <v>6412</v>
      </c>
      <c r="C6140" t="str">
        <f>"460006200206022329"</f>
        <v>460006200206022329</v>
      </c>
      <c r="D6140" t="str">
        <f>"248030300716"</f>
        <v>248030300716</v>
      </c>
      <c r="L6140">
        <v>7828</v>
      </c>
      <c r="M6140" t="s">
        <v>6412</v>
      </c>
      <c r="N6140" t="str">
        <f>"248030300716"</f>
        <v>248030300716</v>
      </c>
      <c r="O6140" t="str">
        <f>"460006200206022329"</f>
        <v>460006200206022329</v>
      </c>
    </row>
    <row r="6141" customFormat="1" spans="1:15">
      <c r="A6141">
        <v>7829</v>
      </c>
      <c r="B6141" t="s">
        <v>6413</v>
      </c>
      <c r="C6141" t="str">
        <f>"460004199801232023"</f>
        <v>460004199801232023</v>
      </c>
      <c r="D6141" t="str">
        <f>"248030301714"</f>
        <v>248030301714</v>
      </c>
      <c r="L6141">
        <v>7829</v>
      </c>
      <c r="M6141" t="s">
        <v>6413</v>
      </c>
      <c r="N6141" t="str">
        <f>"248030301714"</f>
        <v>248030301714</v>
      </c>
      <c r="O6141" t="str">
        <f>"460004199801232023"</f>
        <v>460004199801232023</v>
      </c>
    </row>
    <row r="6142" customFormat="1" spans="1:15">
      <c r="A6142">
        <v>7830</v>
      </c>
      <c r="B6142" t="s">
        <v>6414</v>
      </c>
      <c r="C6142" t="str">
        <f>"460002199807260321"</f>
        <v>460002199807260321</v>
      </c>
      <c r="D6142" t="str">
        <f>"248030400715"</f>
        <v>248030400715</v>
      </c>
      <c r="L6142">
        <v>7830</v>
      </c>
      <c r="M6142" t="s">
        <v>6414</v>
      </c>
      <c r="N6142" t="str">
        <f>"248030400715"</f>
        <v>248030400715</v>
      </c>
      <c r="O6142" t="str">
        <f>"460002199807260321"</f>
        <v>460002199807260321</v>
      </c>
    </row>
    <row r="6143" customFormat="1" spans="1:15">
      <c r="A6143">
        <v>7831</v>
      </c>
      <c r="B6143" t="s">
        <v>6415</v>
      </c>
      <c r="C6143" t="str">
        <f>"469025200110214526"</f>
        <v>469025200110214526</v>
      </c>
      <c r="D6143" t="str">
        <f>"248030502321"</f>
        <v>248030502321</v>
      </c>
      <c r="L6143">
        <v>7831</v>
      </c>
      <c r="M6143" t="s">
        <v>6415</v>
      </c>
      <c r="N6143" t="str">
        <f>"248030502321"</f>
        <v>248030502321</v>
      </c>
      <c r="O6143" t="str">
        <f>"469025200110214526"</f>
        <v>469025200110214526</v>
      </c>
    </row>
    <row r="6144" customFormat="1" spans="1:15">
      <c r="A6144">
        <v>7833</v>
      </c>
      <c r="B6144" t="s">
        <v>4827</v>
      </c>
      <c r="C6144" t="str">
        <f>"350322199906136824"</f>
        <v>350322199906136824</v>
      </c>
      <c r="D6144" t="str">
        <f>"248030403130"</f>
        <v>248030403130</v>
      </c>
      <c r="L6144">
        <v>7833</v>
      </c>
      <c r="M6144" t="s">
        <v>4827</v>
      </c>
      <c r="N6144" t="str">
        <f>"248030403130"</f>
        <v>248030403130</v>
      </c>
      <c r="O6144" t="str">
        <f>"350322199906136824"</f>
        <v>350322199906136824</v>
      </c>
    </row>
    <row r="6145" customFormat="1" spans="1:15">
      <c r="A6145">
        <v>7834</v>
      </c>
      <c r="B6145" t="s">
        <v>6416</v>
      </c>
      <c r="C6145" t="str">
        <f>"431103200002020024"</f>
        <v>431103200002020024</v>
      </c>
      <c r="D6145" t="str">
        <f>"248030502112"</f>
        <v>248030502112</v>
      </c>
      <c r="L6145">
        <v>7834</v>
      </c>
      <c r="M6145" t="s">
        <v>6416</v>
      </c>
      <c r="N6145" t="str">
        <f>"248030502112"</f>
        <v>248030502112</v>
      </c>
      <c r="O6145" t="str">
        <f>"431103200002020024"</f>
        <v>431103200002020024</v>
      </c>
    </row>
    <row r="6146" customFormat="1" spans="1:15">
      <c r="A6146">
        <v>7835</v>
      </c>
      <c r="B6146" t="s">
        <v>6417</v>
      </c>
      <c r="C6146" t="str">
        <f>"460004199809164846"</f>
        <v>460004199809164846</v>
      </c>
      <c r="L6146">
        <v>7835</v>
      </c>
      <c r="M6146" t="s">
        <v>6417</v>
      </c>
      <c r="O6146" t="str">
        <f>"460004199809164846"</f>
        <v>460004199809164846</v>
      </c>
    </row>
    <row r="6147" customFormat="1" spans="1:15">
      <c r="A6147">
        <v>7836</v>
      </c>
      <c r="B6147" t="s">
        <v>6418</v>
      </c>
      <c r="C6147" t="str">
        <f>"460103199807262142"</f>
        <v>460103199807262142</v>
      </c>
      <c r="D6147" t="str">
        <f>"248030101302"</f>
        <v>248030101302</v>
      </c>
      <c r="L6147">
        <v>7836</v>
      </c>
      <c r="M6147" t="s">
        <v>6418</v>
      </c>
      <c r="N6147" t="str">
        <f>"248030101302"</f>
        <v>248030101302</v>
      </c>
      <c r="O6147" t="str">
        <f>"460103199807262142"</f>
        <v>460103199807262142</v>
      </c>
    </row>
    <row r="6148" customFormat="1" spans="1:15">
      <c r="A6148">
        <v>7837</v>
      </c>
      <c r="B6148" t="s">
        <v>6419</v>
      </c>
      <c r="C6148" t="str">
        <f>"460004200005065012"</f>
        <v>460004200005065012</v>
      </c>
      <c r="D6148" t="str">
        <f>"248030302025"</f>
        <v>248030302025</v>
      </c>
      <c r="L6148">
        <v>7837</v>
      </c>
      <c r="M6148" t="s">
        <v>6419</v>
      </c>
      <c r="N6148" t="str">
        <f>"248030302025"</f>
        <v>248030302025</v>
      </c>
      <c r="O6148" t="str">
        <f>"460004200005065012"</f>
        <v>460004200005065012</v>
      </c>
    </row>
    <row r="6149" customFormat="1" spans="1:15">
      <c r="A6149">
        <v>7838</v>
      </c>
      <c r="B6149" t="s">
        <v>6420</v>
      </c>
      <c r="C6149" t="str">
        <f>"460034199907080919"</f>
        <v>460034199907080919</v>
      </c>
      <c r="D6149" t="str">
        <f>"248030202106"</f>
        <v>248030202106</v>
      </c>
      <c r="L6149">
        <v>7838</v>
      </c>
      <c r="M6149" t="s">
        <v>6420</v>
      </c>
      <c r="N6149" t="str">
        <f>"248030202106"</f>
        <v>248030202106</v>
      </c>
      <c r="O6149" t="str">
        <f>"460034199907080919"</f>
        <v>460034199907080919</v>
      </c>
    </row>
    <row r="6150" customFormat="1" spans="1:15">
      <c r="A6150">
        <v>7839</v>
      </c>
      <c r="B6150" t="s">
        <v>6421</v>
      </c>
      <c r="C6150" t="str">
        <f>"460003200112062224"</f>
        <v>460003200112062224</v>
      </c>
      <c r="D6150" t="str">
        <f>"248030202619"</f>
        <v>248030202619</v>
      </c>
      <c r="L6150">
        <v>7839</v>
      </c>
      <c r="M6150" t="s">
        <v>6421</v>
      </c>
      <c r="N6150" t="str">
        <f>"248030202619"</f>
        <v>248030202619</v>
      </c>
      <c r="O6150" t="str">
        <f>"460003200112062224"</f>
        <v>460003200112062224</v>
      </c>
    </row>
    <row r="6151" customFormat="1" spans="1:15">
      <c r="A6151">
        <v>7840</v>
      </c>
      <c r="B6151" t="s">
        <v>6422</v>
      </c>
      <c r="C6151" t="str">
        <f>"460104199005080327"</f>
        <v>460104199005080327</v>
      </c>
      <c r="D6151" t="str">
        <f>"248030402315"</f>
        <v>248030402315</v>
      </c>
      <c r="L6151">
        <v>7840</v>
      </c>
      <c r="M6151" t="s">
        <v>6422</v>
      </c>
      <c r="N6151" t="str">
        <f>"248030402315"</f>
        <v>248030402315</v>
      </c>
      <c r="O6151" t="str">
        <f>"460104199005080327"</f>
        <v>460104199005080327</v>
      </c>
    </row>
    <row r="6152" customFormat="1" spans="1:15">
      <c r="A6152">
        <v>7841</v>
      </c>
      <c r="B6152" t="s">
        <v>6423</v>
      </c>
      <c r="C6152" t="str">
        <f>"421002199105150527"</f>
        <v>421002199105150527</v>
      </c>
      <c r="L6152">
        <v>7841</v>
      </c>
      <c r="M6152" t="s">
        <v>6423</v>
      </c>
      <c r="O6152" t="str">
        <f>"421002199105150527"</f>
        <v>421002199105150527</v>
      </c>
    </row>
    <row r="6153" customFormat="1" spans="1:15">
      <c r="A6153">
        <v>7842</v>
      </c>
      <c r="B6153" t="s">
        <v>3239</v>
      </c>
      <c r="C6153" t="str">
        <f>"460004199606245283"</f>
        <v>460004199606245283</v>
      </c>
      <c r="D6153" t="str">
        <f>"248030501227"</f>
        <v>248030501227</v>
      </c>
      <c r="L6153">
        <v>7842</v>
      </c>
      <c r="M6153" t="s">
        <v>3239</v>
      </c>
      <c r="N6153" t="str">
        <f>"248030501227"</f>
        <v>248030501227</v>
      </c>
      <c r="O6153" t="str">
        <f>"460004199606245283"</f>
        <v>460004199606245283</v>
      </c>
    </row>
    <row r="6154" customFormat="1" spans="1:15">
      <c r="A6154">
        <v>7843</v>
      </c>
      <c r="B6154" t="s">
        <v>6424</v>
      </c>
      <c r="C6154" t="str">
        <f>"469023200301103746"</f>
        <v>469023200301103746</v>
      </c>
      <c r="D6154" t="str">
        <f>"248030500318"</f>
        <v>248030500318</v>
      </c>
      <c r="L6154">
        <v>7843</v>
      </c>
      <c r="M6154" t="s">
        <v>6424</v>
      </c>
      <c r="N6154" t="str">
        <f>"248030500318"</f>
        <v>248030500318</v>
      </c>
      <c r="O6154" t="str">
        <f>"469023200301103746"</f>
        <v>469023200301103746</v>
      </c>
    </row>
    <row r="6155" customFormat="1" spans="1:15">
      <c r="A6155">
        <v>7845</v>
      </c>
      <c r="B6155" t="s">
        <v>6425</v>
      </c>
      <c r="C6155" t="str">
        <f>"460003199908010627"</f>
        <v>460003199908010627</v>
      </c>
      <c r="D6155" t="str">
        <f>"248030402614"</f>
        <v>248030402614</v>
      </c>
      <c r="L6155">
        <v>7845</v>
      </c>
      <c r="M6155" t="s">
        <v>6425</v>
      </c>
      <c r="N6155" t="str">
        <f>"248030402614"</f>
        <v>248030402614</v>
      </c>
      <c r="O6155" t="str">
        <f>"460003199908010627"</f>
        <v>460003199908010627</v>
      </c>
    </row>
    <row r="6156" customFormat="1" spans="1:15">
      <c r="A6156">
        <v>7846</v>
      </c>
      <c r="B6156" t="s">
        <v>699</v>
      </c>
      <c r="C6156" t="str">
        <f>"46002719980711732X"</f>
        <v>46002719980711732X</v>
      </c>
      <c r="D6156" t="str">
        <f>"248030500919"</f>
        <v>248030500919</v>
      </c>
      <c r="L6156">
        <v>7846</v>
      </c>
      <c r="M6156" t="s">
        <v>699</v>
      </c>
      <c r="N6156" t="str">
        <f>"248030500919"</f>
        <v>248030500919</v>
      </c>
      <c r="O6156" t="str">
        <f>"46002719980711732X"</f>
        <v>46002719980711732X</v>
      </c>
    </row>
    <row r="6157" customFormat="1" spans="1:15">
      <c r="A6157">
        <v>7847</v>
      </c>
      <c r="B6157" t="s">
        <v>6426</v>
      </c>
      <c r="C6157" t="str">
        <f>"460003198911162440"</f>
        <v>460003198911162440</v>
      </c>
      <c r="D6157" t="str">
        <f>"248030502509"</f>
        <v>248030502509</v>
      </c>
      <c r="L6157">
        <v>7847</v>
      </c>
      <c r="M6157" t="s">
        <v>6426</v>
      </c>
      <c r="N6157" t="str">
        <f>"248030502509"</f>
        <v>248030502509</v>
      </c>
      <c r="O6157" t="str">
        <f>"460003198911162440"</f>
        <v>460003198911162440</v>
      </c>
    </row>
    <row r="6158" customFormat="1" spans="1:15">
      <c r="A6158">
        <v>7849</v>
      </c>
      <c r="B6158" t="s">
        <v>6427</v>
      </c>
      <c r="C6158" t="str">
        <f>"469026199703050425"</f>
        <v>469026199703050425</v>
      </c>
      <c r="L6158">
        <v>7849</v>
      </c>
      <c r="M6158" t="s">
        <v>6427</v>
      </c>
      <c r="O6158" t="str">
        <f>"469026199703050425"</f>
        <v>469026199703050425</v>
      </c>
    </row>
    <row r="6159" customFormat="1" spans="1:15">
      <c r="A6159">
        <v>7850</v>
      </c>
      <c r="B6159" t="s">
        <v>6428</v>
      </c>
      <c r="C6159" t="str">
        <f>"460007199302207623"</f>
        <v>460007199302207623</v>
      </c>
      <c r="L6159">
        <v>7850</v>
      </c>
      <c r="M6159" t="s">
        <v>6428</v>
      </c>
      <c r="O6159" t="str">
        <f>"460007199302207623"</f>
        <v>460007199302207623</v>
      </c>
    </row>
    <row r="6160" customFormat="1" spans="1:15">
      <c r="A6160">
        <v>7851</v>
      </c>
      <c r="B6160" t="s">
        <v>6429</v>
      </c>
      <c r="C6160" t="str">
        <f>"460003199712302628"</f>
        <v>460003199712302628</v>
      </c>
      <c r="D6160" t="str">
        <f>"248030103822"</f>
        <v>248030103822</v>
      </c>
      <c r="L6160">
        <v>7851</v>
      </c>
      <c r="M6160" t="s">
        <v>6429</v>
      </c>
      <c r="N6160" t="str">
        <f>"248030103822"</f>
        <v>248030103822</v>
      </c>
      <c r="O6160" t="str">
        <f>"460003199712302628"</f>
        <v>460003199712302628</v>
      </c>
    </row>
    <row r="6161" customFormat="1" spans="1:15">
      <c r="A6161">
        <v>7852</v>
      </c>
      <c r="B6161" t="s">
        <v>6430</v>
      </c>
      <c r="C6161" t="str">
        <f>"341225199311151251"</f>
        <v>341225199311151251</v>
      </c>
      <c r="L6161">
        <v>7852</v>
      </c>
      <c r="M6161" t="s">
        <v>6430</v>
      </c>
      <c r="O6161" t="str">
        <f>"341225199311151251"</f>
        <v>341225199311151251</v>
      </c>
    </row>
    <row r="6162" customFormat="1" spans="1:15">
      <c r="A6162">
        <v>7853</v>
      </c>
      <c r="B6162" t="s">
        <v>6431</v>
      </c>
      <c r="C6162" t="str">
        <f>"500232199909225916"</f>
        <v>500232199909225916</v>
      </c>
      <c r="D6162" t="str">
        <f>"248030201401"</f>
        <v>248030201401</v>
      </c>
      <c r="L6162">
        <v>7853</v>
      </c>
      <c r="M6162" t="s">
        <v>6431</v>
      </c>
      <c r="N6162" t="str">
        <f>"248030201401"</f>
        <v>248030201401</v>
      </c>
      <c r="O6162" t="str">
        <f>"500232199909225916"</f>
        <v>500232199909225916</v>
      </c>
    </row>
    <row r="6163" customFormat="1" spans="1:15">
      <c r="A6163">
        <v>7854</v>
      </c>
      <c r="B6163" t="s">
        <v>6432</v>
      </c>
      <c r="C6163" t="str">
        <f>"460007199010140041"</f>
        <v>460007199010140041</v>
      </c>
      <c r="D6163" t="str">
        <f>"248030403721"</f>
        <v>248030403721</v>
      </c>
      <c r="L6163">
        <v>7854</v>
      </c>
      <c r="M6163" t="s">
        <v>6432</v>
      </c>
      <c r="N6163" t="str">
        <f>"248030403721"</f>
        <v>248030403721</v>
      </c>
      <c r="O6163" t="str">
        <f>"460007199010140041"</f>
        <v>460007199010140041</v>
      </c>
    </row>
    <row r="6164" customFormat="1" spans="1:15">
      <c r="A6164">
        <v>7856</v>
      </c>
      <c r="B6164" t="s">
        <v>811</v>
      </c>
      <c r="C6164" t="str">
        <f>"460028199606273621"</f>
        <v>460028199606273621</v>
      </c>
      <c r="D6164" t="str">
        <f>"248030501603"</f>
        <v>248030501603</v>
      </c>
      <c r="L6164">
        <v>7856</v>
      </c>
      <c r="M6164" t="s">
        <v>811</v>
      </c>
      <c r="N6164" t="str">
        <f>"248030501603"</f>
        <v>248030501603</v>
      </c>
      <c r="O6164" t="str">
        <f>"460028199606273621"</f>
        <v>460028199606273621</v>
      </c>
    </row>
    <row r="6165" customFormat="1" spans="1:15">
      <c r="A6165">
        <v>7857</v>
      </c>
      <c r="B6165" t="s">
        <v>6433</v>
      </c>
      <c r="C6165" t="str">
        <f>"360123200006150025"</f>
        <v>360123200006150025</v>
      </c>
      <c r="L6165">
        <v>7857</v>
      </c>
      <c r="M6165" t="s">
        <v>6433</v>
      </c>
      <c r="O6165" t="str">
        <f>"360123200006150025"</f>
        <v>360123200006150025</v>
      </c>
    </row>
    <row r="6166" customFormat="1" spans="1:15">
      <c r="A6166">
        <v>7860</v>
      </c>
      <c r="B6166" t="s">
        <v>6434</v>
      </c>
      <c r="C6166" t="str">
        <f>"420621199612148633"</f>
        <v>420621199612148633</v>
      </c>
      <c r="L6166">
        <v>7860</v>
      </c>
      <c r="M6166" t="s">
        <v>6434</v>
      </c>
      <c r="O6166" t="str">
        <f>"420621199612148633"</f>
        <v>420621199612148633</v>
      </c>
    </row>
    <row r="6167" customFormat="1" spans="1:15">
      <c r="A6167">
        <v>7861</v>
      </c>
      <c r="B6167" t="s">
        <v>6435</v>
      </c>
      <c r="C6167" t="str">
        <f>"460027198711226615"</f>
        <v>460027198711226615</v>
      </c>
      <c r="L6167">
        <v>7861</v>
      </c>
      <c r="M6167" t="s">
        <v>6435</v>
      </c>
      <c r="O6167" t="str">
        <f>"460027198711226615"</f>
        <v>460027198711226615</v>
      </c>
    </row>
    <row r="6168" customFormat="1" spans="1:15">
      <c r="A6168">
        <v>7862</v>
      </c>
      <c r="B6168" t="s">
        <v>6436</v>
      </c>
      <c r="C6168" t="str">
        <f>"460025200208102727"</f>
        <v>460025200208102727</v>
      </c>
      <c r="D6168" t="str">
        <f>"248030101011"</f>
        <v>248030101011</v>
      </c>
      <c r="L6168">
        <v>7862</v>
      </c>
      <c r="M6168" t="s">
        <v>6436</v>
      </c>
      <c r="N6168" t="str">
        <f>"248030101011"</f>
        <v>248030101011</v>
      </c>
      <c r="O6168" t="str">
        <f>"460025200208102727"</f>
        <v>460025200208102727</v>
      </c>
    </row>
    <row r="6169" customFormat="1" spans="1:15">
      <c r="A6169">
        <v>7863</v>
      </c>
      <c r="B6169" t="s">
        <v>6437</v>
      </c>
      <c r="C6169" t="str">
        <f>"460102200208281228"</f>
        <v>460102200208281228</v>
      </c>
      <c r="D6169" t="str">
        <f>"248030203919"</f>
        <v>248030203919</v>
      </c>
      <c r="L6169">
        <v>7863</v>
      </c>
      <c r="M6169" t="s">
        <v>6437</v>
      </c>
      <c r="N6169" t="str">
        <f>"248030203919"</f>
        <v>248030203919</v>
      </c>
      <c r="O6169" t="str">
        <f>"460102200208281228"</f>
        <v>460102200208281228</v>
      </c>
    </row>
    <row r="6170" customFormat="1" spans="1:15">
      <c r="A6170">
        <v>7864</v>
      </c>
      <c r="B6170" t="s">
        <v>6438</v>
      </c>
      <c r="C6170" t="str">
        <f>"452427200205142728"</f>
        <v>452427200205142728</v>
      </c>
      <c r="D6170" t="str">
        <f>"248030401918"</f>
        <v>248030401918</v>
      </c>
      <c r="L6170">
        <v>7864</v>
      </c>
      <c r="M6170" t="s">
        <v>6438</v>
      </c>
      <c r="N6170" t="str">
        <f>"248030401918"</f>
        <v>248030401918</v>
      </c>
      <c r="O6170" t="str">
        <f>"452427200205142728"</f>
        <v>452427200205142728</v>
      </c>
    </row>
    <row r="6171" customFormat="1" spans="1:15">
      <c r="A6171">
        <v>7865</v>
      </c>
      <c r="B6171" t="s">
        <v>6439</v>
      </c>
      <c r="C6171" t="str">
        <f>"460028200206190021"</f>
        <v>460028200206190021</v>
      </c>
      <c r="D6171" t="str">
        <f>"248030102325"</f>
        <v>248030102325</v>
      </c>
      <c r="L6171">
        <v>7865</v>
      </c>
      <c r="M6171" t="s">
        <v>6439</v>
      </c>
      <c r="N6171" t="str">
        <f>"248030102325"</f>
        <v>248030102325</v>
      </c>
      <c r="O6171" t="str">
        <f>"460028200206190021"</f>
        <v>460028200206190021</v>
      </c>
    </row>
    <row r="6172" customFormat="1" spans="1:15">
      <c r="A6172">
        <v>7866</v>
      </c>
      <c r="B6172" t="s">
        <v>6440</v>
      </c>
      <c r="C6172" t="str">
        <f>"232303199504144026"</f>
        <v>232303199504144026</v>
      </c>
      <c r="L6172">
        <v>7866</v>
      </c>
      <c r="M6172" t="s">
        <v>6440</v>
      </c>
      <c r="O6172" t="str">
        <f>"232303199504144026"</f>
        <v>232303199504144026</v>
      </c>
    </row>
    <row r="6173" customFormat="1" spans="1:15">
      <c r="A6173">
        <v>7867</v>
      </c>
      <c r="B6173" t="s">
        <v>6441</v>
      </c>
      <c r="C6173" t="str">
        <f>"460033200106303229"</f>
        <v>460033200106303229</v>
      </c>
      <c r="D6173" t="str">
        <f>"248030501611"</f>
        <v>248030501611</v>
      </c>
      <c r="L6173">
        <v>7867</v>
      </c>
      <c r="M6173" t="s">
        <v>6441</v>
      </c>
      <c r="N6173" t="str">
        <f>"248030501611"</f>
        <v>248030501611</v>
      </c>
      <c r="O6173" t="str">
        <f>"460033200106303229"</f>
        <v>460033200106303229</v>
      </c>
    </row>
    <row r="6174" customFormat="1" spans="1:15">
      <c r="A6174">
        <v>7868</v>
      </c>
      <c r="B6174" t="s">
        <v>6442</v>
      </c>
      <c r="C6174" t="str">
        <f>"360103199712205010"</f>
        <v>360103199712205010</v>
      </c>
      <c r="L6174">
        <v>7868</v>
      </c>
      <c r="M6174" t="s">
        <v>6442</v>
      </c>
      <c r="O6174" t="str">
        <f>"360103199712205010"</f>
        <v>360103199712205010</v>
      </c>
    </row>
    <row r="6175" customFormat="1" spans="1:15">
      <c r="A6175">
        <v>7869</v>
      </c>
      <c r="B6175" t="s">
        <v>6443</v>
      </c>
      <c r="C6175" t="str">
        <f>"469003200005162228"</f>
        <v>469003200005162228</v>
      </c>
      <c r="L6175">
        <v>7869</v>
      </c>
      <c r="M6175" t="s">
        <v>6443</v>
      </c>
      <c r="O6175" t="str">
        <f>"469003200005162228"</f>
        <v>469003200005162228</v>
      </c>
    </row>
    <row r="6176" customFormat="1" spans="1:15">
      <c r="A6176">
        <v>7871</v>
      </c>
      <c r="B6176" t="s">
        <v>6444</v>
      </c>
      <c r="C6176" t="str">
        <f>"460004200007013822"</f>
        <v>460004200007013822</v>
      </c>
      <c r="D6176" t="str">
        <f>"248030200830"</f>
        <v>248030200830</v>
      </c>
      <c r="L6176">
        <v>7871</v>
      </c>
      <c r="M6176" t="s">
        <v>6444</v>
      </c>
      <c r="N6176" t="str">
        <f>"248030200830"</f>
        <v>248030200830</v>
      </c>
      <c r="O6176" t="str">
        <f>"460004200007013822"</f>
        <v>460004200007013822</v>
      </c>
    </row>
    <row r="6177" customFormat="1" spans="1:15">
      <c r="A6177">
        <v>7872</v>
      </c>
      <c r="B6177" t="s">
        <v>6445</v>
      </c>
      <c r="C6177" t="str">
        <f>"460006199408146228"</f>
        <v>460006199408146228</v>
      </c>
      <c r="D6177" t="str">
        <f>"248030203727"</f>
        <v>248030203727</v>
      </c>
      <c r="L6177">
        <v>7872</v>
      </c>
      <c r="M6177" t="s">
        <v>6445</v>
      </c>
      <c r="N6177" t="str">
        <f>"248030203727"</f>
        <v>248030203727</v>
      </c>
      <c r="O6177" t="str">
        <f>"460006199408146228"</f>
        <v>460006199408146228</v>
      </c>
    </row>
    <row r="6178" customFormat="1" spans="1:15">
      <c r="A6178">
        <v>7873</v>
      </c>
      <c r="B6178" t="s">
        <v>6446</v>
      </c>
      <c r="C6178" t="str">
        <f>"460035200211231928"</f>
        <v>460035200211231928</v>
      </c>
      <c r="L6178">
        <v>7873</v>
      </c>
      <c r="M6178" t="s">
        <v>6446</v>
      </c>
      <c r="O6178" t="str">
        <f>"460035200211231928"</f>
        <v>460035200211231928</v>
      </c>
    </row>
    <row r="6179" customFormat="1" spans="1:15">
      <c r="A6179">
        <v>7874</v>
      </c>
      <c r="B6179" t="s">
        <v>6447</v>
      </c>
      <c r="C6179" t="str">
        <f>"460104199910220625"</f>
        <v>460104199910220625</v>
      </c>
      <c r="D6179" t="str">
        <f>"248030500317"</f>
        <v>248030500317</v>
      </c>
      <c r="L6179">
        <v>7874</v>
      </c>
      <c r="M6179" t="s">
        <v>6447</v>
      </c>
      <c r="N6179" t="str">
        <f>"248030500317"</f>
        <v>248030500317</v>
      </c>
      <c r="O6179" t="str">
        <f>"460104199910220625"</f>
        <v>460104199910220625</v>
      </c>
    </row>
    <row r="6180" customFormat="1" spans="1:15">
      <c r="A6180">
        <v>7875</v>
      </c>
      <c r="B6180" t="s">
        <v>6448</v>
      </c>
      <c r="C6180" t="str">
        <f>"460004199607292428"</f>
        <v>460004199607292428</v>
      </c>
      <c r="D6180" t="str">
        <f>"248030400514"</f>
        <v>248030400514</v>
      </c>
      <c r="L6180">
        <v>7875</v>
      </c>
      <c r="M6180" t="s">
        <v>6448</v>
      </c>
      <c r="N6180" t="str">
        <f>"248030400514"</f>
        <v>248030400514</v>
      </c>
      <c r="O6180" t="str">
        <f>"460004199607292428"</f>
        <v>460004199607292428</v>
      </c>
    </row>
    <row r="6181" customFormat="1" spans="1:15">
      <c r="A6181">
        <v>7876</v>
      </c>
      <c r="B6181" t="s">
        <v>6449</v>
      </c>
      <c r="C6181" t="str">
        <f>"460003199603032243"</f>
        <v>460003199603032243</v>
      </c>
      <c r="D6181" t="str">
        <f>"248030500920"</f>
        <v>248030500920</v>
      </c>
      <c r="L6181">
        <v>7876</v>
      </c>
      <c r="M6181" t="s">
        <v>6449</v>
      </c>
      <c r="N6181" t="str">
        <f>"248030500920"</f>
        <v>248030500920</v>
      </c>
      <c r="O6181" t="str">
        <f>"460003199603032243"</f>
        <v>460003199603032243</v>
      </c>
    </row>
    <row r="6182" customFormat="1" spans="1:15">
      <c r="A6182">
        <v>7877</v>
      </c>
      <c r="B6182" t="s">
        <v>6450</v>
      </c>
      <c r="C6182" t="str">
        <f>"460003199711057624"</f>
        <v>460003199711057624</v>
      </c>
      <c r="D6182" t="str">
        <f>"248030501313"</f>
        <v>248030501313</v>
      </c>
      <c r="L6182">
        <v>7877</v>
      </c>
      <c r="M6182" t="s">
        <v>6450</v>
      </c>
      <c r="N6182" t="str">
        <f>"248030501313"</f>
        <v>248030501313</v>
      </c>
      <c r="O6182" t="str">
        <f>"460003199711057624"</f>
        <v>460003199711057624</v>
      </c>
    </row>
    <row r="6183" customFormat="1" spans="1:15">
      <c r="A6183">
        <v>7878</v>
      </c>
      <c r="B6183" t="s">
        <v>6451</v>
      </c>
      <c r="C6183" t="str">
        <f>"460003200008022417"</f>
        <v>460003200008022417</v>
      </c>
      <c r="L6183">
        <v>7878</v>
      </c>
      <c r="M6183" t="s">
        <v>6451</v>
      </c>
      <c r="O6183" t="str">
        <f>"460003200008022417"</f>
        <v>460003200008022417</v>
      </c>
    </row>
    <row r="6184" customFormat="1" spans="1:15">
      <c r="A6184">
        <v>7879</v>
      </c>
      <c r="B6184" t="s">
        <v>6452</v>
      </c>
      <c r="C6184" t="str">
        <f>"232102199502211910"</f>
        <v>232102199502211910</v>
      </c>
      <c r="D6184" t="str">
        <f>"248030202626"</f>
        <v>248030202626</v>
      </c>
      <c r="L6184">
        <v>7879</v>
      </c>
      <c r="M6184" t="s">
        <v>6452</v>
      </c>
      <c r="N6184" t="str">
        <f>"248030202626"</f>
        <v>248030202626</v>
      </c>
      <c r="O6184" t="str">
        <f>"232102199502211910"</f>
        <v>232102199502211910</v>
      </c>
    </row>
    <row r="6185" customFormat="1" spans="1:15">
      <c r="A6185">
        <v>7880</v>
      </c>
      <c r="B6185" t="s">
        <v>6453</v>
      </c>
      <c r="C6185" t="str">
        <f>"460027200104067915"</f>
        <v>460027200104067915</v>
      </c>
      <c r="D6185" t="str">
        <f>"248030202119"</f>
        <v>248030202119</v>
      </c>
      <c r="L6185">
        <v>7880</v>
      </c>
      <c r="M6185" t="s">
        <v>6453</v>
      </c>
      <c r="N6185" t="str">
        <f>"248030202119"</f>
        <v>248030202119</v>
      </c>
      <c r="O6185" t="str">
        <f>"460027200104067915"</f>
        <v>460027200104067915</v>
      </c>
    </row>
    <row r="6186" customFormat="1" spans="1:15">
      <c r="A6186">
        <v>7882</v>
      </c>
      <c r="B6186" t="s">
        <v>6454</v>
      </c>
      <c r="C6186" t="str">
        <f>"460026199308045126"</f>
        <v>460026199308045126</v>
      </c>
      <c r="L6186">
        <v>7882</v>
      </c>
      <c r="M6186" t="s">
        <v>6454</v>
      </c>
      <c r="O6186" t="str">
        <f>"460026199308045126"</f>
        <v>460026199308045126</v>
      </c>
    </row>
    <row r="6187" customFormat="1" spans="1:15">
      <c r="A6187">
        <v>7883</v>
      </c>
      <c r="B6187" t="s">
        <v>6455</v>
      </c>
      <c r="C6187" t="str">
        <f>"460007199704080020"</f>
        <v>460007199704080020</v>
      </c>
      <c r="L6187">
        <v>7883</v>
      </c>
      <c r="M6187" t="s">
        <v>6455</v>
      </c>
      <c r="O6187" t="str">
        <f>"460007199704080020"</f>
        <v>460007199704080020</v>
      </c>
    </row>
    <row r="6188" customFormat="1" spans="1:15">
      <c r="A6188">
        <v>7886</v>
      </c>
      <c r="B6188" t="s">
        <v>6456</v>
      </c>
      <c r="C6188" t="str">
        <f>"460029199510197624"</f>
        <v>460029199510197624</v>
      </c>
      <c r="D6188" t="str">
        <f>"248030201015"</f>
        <v>248030201015</v>
      </c>
      <c r="L6188">
        <v>7886</v>
      </c>
      <c r="M6188" t="s">
        <v>6456</v>
      </c>
      <c r="N6188" t="str">
        <f>"248030201015"</f>
        <v>248030201015</v>
      </c>
      <c r="O6188" t="str">
        <f>"460029199510197624"</f>
        <v>460029199510197624</v>
      </c>
    </row>
    <row r="6189" customFormat="1" spans="1:15">
      <c r="A6189">
        <v>7887</v>
      </c>
      <c r="B6189" t="s">
        <v>6457</v>
      </c>
      <c r="C6189" t="str">
        <f>"460003199807193049"</f>
        <v>460003199807193049</v>
      </c>
      <c r="D6189" t="str">
        <f>"248030403006"</f>
        <v>248030403006</v>
      </c>
      <c r="L6189">
        <v>7887</v>
      </c>
      <c r="M6189" t="s">
        <v>6457</v>
      </c>
      <c r="N6189" t="str">
        <f>"248030403006"</f>
        <v>248030403006</v>
      </c>
      <c r="O6189" t="str">
        <f>"460003199807193049"</f>
        <v>460003199807193049</v>
      </c>
    </row>
    <row r="6190" customFormat="1" spans="1:15">
      <c r="A6190">
        <v>7888</v>
      </c>
      <c r="B6190" t="s">
        <v>625</v>
      </c>
      <c r="C6190" t="str">
        <f>"46010319910403002X"</f>
        <v>46010319910403002X</v>
      </c>
      <c r="D6190" t="str">
        <f>"248030104210"</f>
        <v>248030104210</v>
      </c>
      <c r="L6190">
        <v>7888</v>
      </c>
      <c r="M6190" t="s">
        <v>625</v>
      </c>
      <c r="N6190" t="str">
        <f>"248030104210"</f>
        <v>248030104210</v>
      </c>
      <c r="O6190" t="str">
        <f>"46010319910403002X"</f>
        <v>46010319910403002X</v>
      </c>
    </row>
    <row r="6191" customFormat="1" spans="1:15">
      <c r="A6191">
        <v>7889</v>
      </c>
      <c r="B6191" t="s">
        <v>6458</v>
      </c>
      <c r="C6191" t="str">
        <f>"460033199308143280"</f>
        <v>460033199308143280</v>
      </c>
      <c r="D6191" t="str">
        <f>"248030503512"</f>
        <v>248030503512</v>
      </c>
      <c r="L6191">
        <v>7889</v>
      </c>
      <c r="M6191" t="s">
        <v>6458</v>
      </c>
      <c r="N6191" t="str">
        <f>"248030503512"</f>
        <v>248030503512</v>
      </c>
      <c r="O6191" t="str">
        <f>"460033199308143280"</f>
        <v>460033199308143280</v>
      </c>
    </row>
    <row r="6192" customFormat="1" spans="1:15">
      <c r="A6192">
        <v>7890</v>
      </c>
      <c r="B6192" t="s">
        <v>6459</v>
      </c>
      <c r="C6192" t="str">
        <f>"460004199807230221"</f>
        <v>460004199807230221</v>
      </c>
      <c r="L6192">
        <v>7890</v>
      </c>
      <c r="M6192" t="s">
        <v>6459</v>
      </c>
      <c r="O6192" t="str">
        <f>"460004199807230221"</f>
        <v>460004199807230221</v>
      </c>
    </row>
    <row r="6193" customFormat="1" spans="1:15">
      <c r="A6193">
        <v>7891</v>
      </c>
      <c r="B6193" t="s">
        <v>6460</v>
      </c>
      <c r="C6193" t="str">
        <f>"460002200003302528"</f>
        <v>460002200003302528</v>
      </c>
      <c r="D6193" t="str">
        <f>"248030102422"</f>
        <v>248030102422</v>
      </c>
      <c r="L6193">
        <v>7891</v>
      </c>
      <c r="M6193" t="s">
        <v>6460</v>
      </c>
      <c r="N6193" t="str">
        <f>"248030102422"</f>
        <v>248030102422</v>
      </c>
      <c r="O6193" t="str">
        <f>"460002200003302528"</f>
        <v>460002200003302528</v>
      </c>
    </row>
    <row r="6194" customFormat="1" spans="1:15">
      <c r="A6194">
        <v>7892</v>
      </c>
      <c r="B6194" t="s">
        <v>2716</v>
      </c>
      <c r="C6194" t="str">
        <f>"360105199007202829"</f>
        <v>360105199007202829</v>
      </c>
      <c r="D6194" t="str">
        <f>"248030200819"</f>
        <v>248030200819</v>
      </c>
      <c r="L6194">
        <v>7892</v>
      </c>
      <c r="M6194" t="s">
        <v>2716</v>
      </c>
      <c r="N6194" t="str">
        <f>"248030200819"</f>
        <v>248030200819</v>
      </c>
      <c r="O6194" t="str">
        <f>"360105199007202829"</f>
        <v>360105199007202829</v>
      </c>
    </row>
    <row r="6195" customFormat="1" spans="1:15">
      <c r="A6195">
        <v>7894</v>
      </c>
      <c r="B6195" t="s">
        <v>6461</v>
      </c>
      <c r="C6195" t="str">
        <f>"431022200205016264"</f>
        <v>431022200205016264</v>
      </c>
      <c r="D6195" t="str">
        <f>"248030103019"</f>
        <v>248030103019</v>
      </c>
      <c r="L6195">
        <v>7894</v>
      </c>
      <c r="M6195" t="s">
        <v>6461</v>
      </c>
      <c r="N6195" t="str">
        <f>"248030103019"</f>
        <v>248030103019</v>
      </c>
      <c r="O6195" t="str">
        <f>"431022200205016264"</f>
        <v>431022200205016264</v>
      </c>
    </row>
    <row r="6196" customFormat="1" spans="1:15">
      <c r="A6196">
        <v>7895</v>
      </c>
      <c r="B6196" t="s">
        <v>6462</v>
      </c>
      <c r="C6196" t="str">
        <f>"460025199903180027"</f>
        <v>460025199903180027</v>
      </c>
      <c r="D6196" t="str">
        <f>"248030104108"</f>
        <v>248030104108</v>
      </c>
      <c r="L6196">
        <v>7895</v>
      </c>
      <c r="M6196" t="s">
        <v>6462</v>
      </c>
      <c r="N6196" t="str">
        <f>"248030104108"</f>
        <v>248030104108</v>
      </c>
      <c r="O6196" t="str">
        <f>"460025199903180027"</f>
        <v>460025199903180027</v>
      </c>
    </row>
    <row r="6197" customFormat="1" spans="1:15">
      <c r="A6197">
        <v>7899</v>
      </c>
      <c r="B6197" t="s">
        <v>6463</v>
      </c>
      <c r="C6197" t="str">
        <f>"46002520020525002X"</f>
        <v>46002520020525002X</v>
      </c>
      <c r="D6197" t="str">
        <f>"248030402922"</f>
        <v>248030402922</v>
      </c>
      <c r="L6197">
        <v>7899</v>
      </c>
      <c r="M6197" t="s">
        <v>6463</v>
      </c>
      <c r="N6197" t="str">
        <f>"248030402922"</f>
        <v>248030402922</v>
      </c>
      <c r="O6197" t="str">
        <f>"46002520020525002X"</f>
        <v>46002520020525002X</v>
      </c>
    </row>
    <row r="6198" customFormat="1" spans="1:15">
      <c r="A6198">
        <v>7900</v>
      </c>
      <c r="B6198" t="s">
        <v>6464</v>
      </c>
      <c r="C6198" t="str">
        <f>"460003200109273020"</f>
        <v>460003200109273020</v>
      </c>
      <c r="D6198" t="str">
        <f>"248030300212"</f>
        <v>248030300212</v>
      </c>
      <c r="L6198">
        <v>7900</v>
      </c>
      <c r="M6198" t="s">
        <v>6464</v>
      </c>
      <c r="N6198" t="str">
        <f>"248030300212"</f>
        <v>248030300212</v>
      </c>
      <c r="O6198" t="str">
        <f>"460003200109273020"</f>
        <v>460003200109273020</v>
      </c>
    </row>
    <row r="6199" customFormat="1" spans="1:15">
      <c r="A6199">
        <v>7901</v>
      </c>
      <c r="B6199" t="s">
        <v>6465</v>
      </c>
      <c r="C6199" t="str">
        <f>"152626200211274229"</f>
        <v>152626200211274229</v>
      </c>
      <c r="D6199" t="str">
        <f>"248030302002"</f>
        <v>248030302002</v>
      </c>
      <c r="L6199">
        <v>7901</v>
      </c>
      <c r="M6199" t="s">
        <v>6465</v>
      </c>
      <c r="N6199" t="str">
        <f>"248030302002"</f>
        <v>248030302002</v>
      </c>
      <c r="O6199" t="str">
        <f>"152626200211274229"</f>
        <v>152626200211274229</v>
      </c>
    </row>
    <row r="6200" customFormat="1" spans="1:15">
      <c r="A6200">
        <v>7902</v>
      </c>
      <c r="B6200" t="s">
        <v>6466</v>
      </c>
      <c r="C6200" t="str">
        <f>"431003199608106518"</f>
        <v>431003199608106518</v>
      </c>
      <c r="D6200" t="str">
        <f>"248030201517"</f>
        <v>248030201517</v>
      </c>
      <c r="L6200">
        <v>7902</v>
      </c>
      <c r="M6200" t="s">
        <v>6466</v>
      </c>
      <c r="N6200" t="str">
        <f>"248030201517"</f>
        <v>248030201517</v>
      </c>
      <c r="O6200" t="str">
        <f>"431003199608106518"</f>
        <v>431003199608106518</v>
      </c>
    </row>
    <row r="6201" customFormat="1" spans="1:15">
      <c r="A6201">
        <v>7903</v>
      </c>
      <c r="B6201" t="s">
        <v>6467</v>
      </c>
      <c r="C6201" t="str">
        <f>"460104200103010029"</f>
        <v>460104200103010029</v>
      </c>
      <c r="D6201" t="str">
        <f>"248030300306"</f>
        <v>248030300306</v>
      </c>
      <c r="L6201">
        <v>7903</v>
      </c>
      <c r="M6201" t="s">
        <v>6467</v>
      </c>
      <c r="N6201" t="str">
        <f>"248030300306"</f>
        <v>248030300306</v>
      </c>
      <c r="O6201" t="str">
        <f>"460104200103010029"</f>
        <v>460104200103010029</v>
      </c>
    </row>
    <row r="6202" customFormat="1" spans="1:15">
      <c r="A6202">
        <v>7904</v>
      </c>
      <c r="B6202" t="s">
        <v>6468</v>
      </c>
      <c r="C6202" t="str">
        <f>"460033199904070022"</f>
        <v>460033199904070022</v>
      </c>
      <c r="D6202" t="str">
        <f>"248030401602"</f>
        <v>248030401602</v>
      </c>
      <c r="L6202">
        <v>7904</v>
      </c>
      <c r="M6202" t="s">
        <v>6468</v>
      </c>
      <c r="N6202" t="str">
        <f>"248030401602"</f>
        <v>248030401602</v>
      </c>
      <c r="O6202" t="str">
        <f>"460033199904070022"</f>
        <v>460033199904070022</v>
      </c>
    </row>
    <row r="6203" customFormat="1" spans="1:15">
      <c r="A6203">
        <v>7905</v>
      </c>
      <c r="B6203" t="s">
        <v>6469</v>
      </c>
      <c r="C6203" t="str">
        <f>"460004199005014025"</f>
        <v>460004199005014025</v>
      </c>
      <c r="L6203">
        <v>7905</v>
      </c>
      <c r="M6203" t="s">
        <v>6469</v>
      </c>
      <c r="O6203" t="str">
        <f>"460004199005014025"</f>
        <v>460004199005014025</v>
      </c>
    </row>
    <row r="6204" customFormat="1" spans="1:15">
      <c r="A6204">
        <v>7907</v>
      </c>
      <c r="B6204" t="s">
        <v>6470</v>
      </c>
      <c r="C6204" t="str">
        <f>"460107200105052010"</f>
        <v>460107200105052010</v>
      </c>
      <c r="D6204" t="str">
        <f>"248030301917"</f>
        <v>248030301917</v>
      </c>
      <c r="L6204">
        <v>7907</v>
      </c>
      <c r="M6204" t="s">
        <v>6470</v>
      </c>
      <c r="N6204" t="str">
        <f>"248030301917"</f>
        <v>248030301917</v>
      </c>
      <c r="O6204" t="str">
        <f>"460107200105052010"</f>
        <v>460107200105052010</v>
      </c>
    </row>
    <row r="6205" customFormat="1" spans="1:15">
      <c r="A6205">
        <v>7908</v>
      </c>
      <c r="B6205" t="s">
        <v>6471</v>
      </c>
      <c r="C6205" t="str">
        <f>"460026200112110024"</f>
        <v>460026200112110024</v>
      </c>
      <c r="D6205" t="str">
        <f>"248030202901"</f>
        <v>248030202901</v>
      </c>
      <c r="L6205">
        <v>7908</v>
      </c>
      <c r="M6205" t="s">
        <v>6471</v>
      </c>
      <c r="N6205" t="str">
        <f>"248030202901"</f>
        <v>248030202901</v>
      </c>
      <c r="O6205" t="str">
        <f>"460026200112110024"</f>
        <v>460026200112110024</v>
      </c>
    </row>
    <row r="6206" customFormat="1" spans="1:15">
      <c r="A6206">
        <v>7909</v>
      </c>
      <c r="B6206" t="s">
        <v>6472</v>
      </c>
      <c r="C6206" t="str">
        <f>"460003199712016824"</f>
        <v>460003199712016824</v>
      </c>
      <c r="L6206">
        <v>7909</v>
      </c>
      <c r="M6206" t="s">
        <v>6472</v>
      </c>
      <c r="O6206" t="str">
        <f>"460003199712016824"</f>
        <v>460003199712016824</v>
      </c>
    </row>
    <row r="6207" customFormat="1" spans="1:15">
      <c r="A6207">
        <v>7910</v>
      </c>
      <c r="B6207" t="s">
        <v>6473</v>
      </c>
      <c r="C6207" t="str">
        <f>"433125200102254741"</f>
        <v>433125200102254741</v>
      </c>
      <c r="D6207" t="str">
        <f>"248030301520"</f>
        <v>248030301520</v>
      </c>
      <c r="L6207">
        <v>7910</v>
      </c>
      <c r="M6207" t="s">
        <v>6473</v>
      </c>
      <c r="N6207" t="str">
        <f>"248030301520"</f>
        <v>248030301520</v>
      </c>
      <c r="O6207" t="str">
        <f>"433125200102254741"</f>
        <v>433125200102254741</v>
      </c>
    </row>
    <row r="6208" customFormat="1" spans="1:15">
      <c r="A6208">
        <v>7911</v>
      </c>
      <c r="B6208" t="s">
        <v>6474</v>
      </c>
      <c r="C6208" t="str">
        <f>"46003320030125360X"</f>
        <v>46003320030125360X</v>
      </c>
      <c r="D6208" t="str">
        <f>"248030501014"</f>
        <v>248030501014</v>
      </c>
      <c r="L6208">
        <v>7911</v>
      </c>
      <c r="M6208" t="s">
        <v>6474</v>
      </c>
      <c r="N6208" t="str">
        <f>"248030501014"</f>
        <v>248030501014</v>
      </c>
      <c r="O6208" t="str">
        <f>"46003320030125360X"</f>
        <v>46003320030125360X</v>
      </c>
    </row>
    <row r="6209" customFormat="1" spans="1:15">
      <c r="A6209">
        <v>7913</v>
      </c>
      <c r="B6209" t="s">
        <v>6475</v>
      </c>
      <c r="C6209" t="str">
        <f>"460028199810100445"</f>
        <v>460028199810100445</v>
      </c>
      <c r="D6209" t="str">
        <f>"248030500410"</f>
        <v>248030500410</v>
      </c>
      <c r="L6209">
        <v>7913</v>
      </c>
      <c r="M6209" t="s">
        <v>6475</v>
      </c>
      <c r="N6209" t="str">
        <f>"248030500410"</f>
        <v>248030500410</v>
      </c>
      <c r="O6209" t="str">
        <f>"460028199810100445"</f>
        <v>460028199810100445</v>
      </c>
    </row>
    <row r="6210" customFormat="1" spans="1:15">
      <c r="A6210">
        <v>7914</v>
      </c>
      <c r="B6210" t="s">
        <v>1882</v>
      </c>
      <c r="C6210" t="str">
        <f>"460026199708300026"</f>
        <v>460026199708300026</v>
      </c>
      <c r="L6210">
        <v>7914</v>
      </c>
      <c r="M6210" t="s">
        <v>1882</v>
      </c>
      <c r="O6210" t="str">
        <f>"460026199708300026"</f>
        <v>460026199708300026</v>
      </c>
    </row>
    <row r="6211" customFormat="1" spans="1:15">
      <c r="A6211">
        <v>7916</v>
      </c>
      <c r="B6211" t="s">
        <v>1457</v>
      </c>
      <c r="C6211" t="str">
        <f>"460102199608121527"</f>
        <v>460102199608121527</v>
      </c>
      <c r="D6211" t="str">
        <f>"248030300920"</f>
        <v>248030300920</v>
      </c>
      <c r="L6211">
        <v>7916</v>
      </c>
      <c r="M6211" t="s">
        <v>1457</v>
      </c>
      <c r="N6211" t="str">
        <f>"248030300920"</f>
        <v>248030300920</v>
      </c>
      <c r="O6211" t="str">
        <f>"460102199608121527"</f>
        <v>460102199608121527</v>
      </c>
    </row>
    <row r="6212" customFormat="1" spans="1:15">
      <c r="A6212">
        <v>7917</v>
      </c>
      <c r="B6212" t="s">
        <v>6476</v>
      </c>
      <c r="C6212" t="str">
        <f>"460004199401200823"</f>
        <v>460004199401200823</v>
      </c>
      <c r="L6212">
        <v>7917</v>
      </c>
      <c r="M6212" t="s">
        <v>6476</v>
      </c>
      <c r="O6212" t="str">
        <f>"460004199401200823"</f>
        <v>460004199401200823</v>
      </c>
    </row>
    <row r="6213" customFormat="1" spans="1:15">
      <c r="A6213">
        <v>7918</v>
      </c>
      <c r="B6213" t="s">
        <v>6477</v>
      </c>
      <c r="C6213" t="str">
        <f>"460003200209273861"</f>
        <v>460003200209273861</v>
      </c>
      <c r="D6213" t="str">
        <f>"248030103111"</f>
        <v>248030103111</v>
      </c>
      <c r="L6213">
        <v>7918</v>
      </c>
      <c r="M6213" t="s">
        <v>6477</v>
      </c>
      <c r="N6213" t="str">
        <f>"248030103111"</f>
        <v>248030103111</v>
      </c>
      <c r="O6213" t="str">
        <f>"460003200209273861"</f>
        <v>460003200209273861</v>
      </c>
    </row>
    <row r="6214" customFormat="1" spans="1:15">
      <c r="A6214">
        <v>7920</v>
      </c>
      <c r="B6214" t="s">
        <v>6478</v>
      </c>
      <c r="C6214" t="str">
        <f>"230826199905252423"</f>
        <v>230826199905252423</v>
      </c>
      <c r="L6214">
        <v>7920</v>
      </c>
      <c r="M6214" t="s">
        <v>6478</v>
      </c>
      <c r="O6214" t="str">
        <f>"230826199905252423"</f>
        <v>230826199905252423</v>
      </c>
    </row>
    <row r="6215" customFormat="1" spans="1:15">
      <c r="A6215">
        <v>7921</v>
      </c>
      <c r="B6215" t="s">
        <v>6479</v>
      </c>
      <c r="C6215" t="str">
        <f>"220282200112276523"</f>
        <v>220282200112276523</v>
      </c>
      <c r="D6215" t="str">
        <f>"248030200515"</f>
        <v>248030200515</v>
      </c>
      <c r="L6215">
        <v>7921</v>
      </c>
      <c r="M6215" t="s">
        <v>6479</v>
      </c>
      <c r="N6215" t="str">
        <f>"248030200515"</f>
        <v>248030200515</v>
      </c>
      <c r="O6215" t="str">
        <f>"220282200112276523"</f>
        <v>220282200112276523</v>
      </c>
    </row>
    <row r="6216" customFormat="1" spans="1:15">
      <c r="A6216">
        <v>7922</v>
      </c>
      <c r="B6216" t="s">
        <v>6480</v>
      </c>
      <c r="C6216" t="str">
        <f>"460030199706270024"</f>
        <v>460030199706270024</v>
      </c>
      <c r="D6216" t="str">
        <f>"248030203616"</f>
        <v>248030203616</v>
      </c>
      <c r="L6216">
        <v>7922</v>
      </c>
      <c r="M6216" t="s">
        <v>6480</v>
      </c>
      <c r="N6216" t="str">
        <f>"248030203616"</f>
        <v>248030203616</v>
      </c>
      <c r="O6216" t="str">
        <f>"460030199706270024"</f>
        <v>460030199706270024</v>
      </c>
    </row>
    <row r="6217" customFormat="1" spans="1:15">
      <c r="A6217">
        <v>7924</v>
      </c>
      <c r="B6217" t="s">
        <v>6481</v>
      </c>
      <c r="C6217" t="str">
        <f>"460007199404137224"</f>
        <v>460007199404137224</v>
      </c>
      <c r="L6217">
        <v>7924</v>
      </c>
      <c r="M6217" t="s">
        <v>6481</v>
      </c>
      <c r="O6217" t="str">
        <f>"460007199404137224"</f>
        <v>460007199404137224</v>
      </c>
    </row>
    <row r="6218" customFormat="1" spans="1:15">
      <c r="A6218">
        <v>7926</v>
      </c>
      <c r="B6218" t="s">
        <v>6482</v>
      </c>
      <c r="C6218" t="str">
        <f>"460006200012193429"</f>
        <v>460006200012193429</v>
      </c>
      <c r="D6218" t="str">
        <f>"248030103412"</f>
        <v>248030103412</v>
      </c>
      <c r="L6218">
        <v>7926</v>
      </c>
      <c r="M6218" t="s">
        <v>6482</v>
      </c>
      <c r="N6218" t="str">
        <f>"248030103412"</f>
        <v>248030103412</v>
      </c>
      <c r="O6218" t="str">
        <f>"460006200012193429"</f>
        <v>460006200012193429</v>
      </c>
    </row>
    <row r="6219" customFormat="1" spans="1:15">
      <c r="A6219">
        <v>7927</v>
      </c>
      <c r="B6219" t="s">
        <v>6483</v>
      </c>
      <c r="C6219" t="str">
        <f>"460033200105145783"</f>
        <v>460033200105145783</v>
      </c>
      <c r="D6219" t="str">
        <f>"248030500903"</f>
        <v>248030500903</v>
      </c>
      <c r="L6219">
        <v>7927</v>
      </c>
      <c r="M6219" t="s">
        <v>6483</v>
      </c>
      <c r="N6219" t="str">
        <f>"248030500903"</f>
        <v>248030500903</v>
      </c>
      <c r="O6219" t="str">
        <f>"460033200105145783"</f>
        <v>460033200105145783</v>
      </c>
    </row>
    <row r="6220" customFormat="1" spans="1:15">
      <c r="A6220">
        <v>7928</v>
      </c>
      <c r="B6220" t="s">
        <v>6484</v>
      </c>
      <c r="C6220" t="str">
        <f>"460200200111120025"</f>
        <v>460200200111120025</v>
      </c>
      <c r="D6220" t="str">
        <f>"248030100423"</f>
        <v>248030100423</v>
      </c>
      <c r="L6220">
        <v>7928</v>
      </c>
      <c r="M6220" t="s">
        <v>6484</v>
      </c>
      <c r="N6220" t="str">
        <f>"248030100423"</f>
        <v>248030100423</v>
      </c>
      <c r="O6220" t="str">
        <f>"460200200111120025"</f>
        <v>460200200111120025</v>
      </c>
    </row>
    <row r="6221" customFormat="1" spans="1:15">
      <c r="A6221">
        <v>7929</v>
      </c>
      <c r="B6221" t="s">
        <v>6485</v>
      </c>
      <c r="C6221" t="str">
        <f>"469005200204018117"</f>
        <v>469005200204018117</v>
      </c>
      <c r="D6221" t="str">
        <f>"248030400930"</f>
        <v>248030400930</v>
      </c>
      <c r="L6221">
        <v>7929</v>
      </c>
      <c r="M6221" t="s">
        <v>6485</v>
      </c>
      <c r="N6221" t="str">
        <f>"248030400930"</f>
        <v>248030400930</v>
      </c>
      <c r="O6221" t="str">
        <f>"469005200204018117"</f>
        <v>469005200204018117</v>
      </c>
    </row>
    <row r="6222" customFormat="1" spans="1:15">
      <c r="A6222">
        <v>7930</v>
      </c>
      <c r="B6222" t="s">
        <v>6486</v>
      </c>
      <c r="C6222" t="str">
        <f>"460006200205104322"</f>
        <v>460006200205104322</v>
      </c>
      <c r="D6222" t="str">
        <f>"248030402628"</f>
        <v>248030402628</v>
      </c>
      <c r="L6222">
        <v>7930</v>
      </c>
      <c r="M6222" t="s">
        <v>6486</v>
      </c>
      <c r="N6222" t="str">
        <f>"248030402628"</f>
        <v>248030402628</v>
      </c>
      <c r="O6222" t="str">
        <f>"460006200205104322"</f>
        <v>460006200205104322</v>
      </c>
    </row>
    <row r="6223" customFormat="1" spans="1:15">
      <c r="A6223">
        <v>7931</v>
      </c>
      <c r="B6223" t="s">
        <v>6487</v>
      </c>
      <c r="C6223" t="str">
        <f>"460002200012230028"</f>
        <v>460002200012230028</v>
      </c>
      <c r="D6223" t="str">
        <f>"248030103614"</f>
        <v>248030103614</v>
      </c>
      <c r="L6223">
        <v>7931</v>
      </c>
      <c r="M6223" t="s">
        <v>6487</v>
      </c>
      <c r="N6223" t="str">
        <f>"248030103614"</f>
        <v>248030103614</v>
      </c>
      <c r="O6223" t="str">
        <f>"460002200012230028"</f>
        <v>460002200012230028</v>
      </c>
    </row>
    <row r="6224" customFormat="1" spans="1:15">
      <c r="A6224">
        <v>7932</v>
      </c>
      <c r="B6224" t="s">
        <v>6488</v>
      </c>
      <c r="C6224" t="str">
        <f>"460103200411190328"</f>
        <v>460103200411190328</v>
      </c>
      <c r="D6224" t="str">
        <f>"248030103011"</f>
        <v>248030103011</v>
      </c>
      <c r="L6224">
        <v>7932</v>
      </c>
      <c r="M6224" t="s">
        <v>6488</v>
      </c>
      <c r="N6224" t="str">
        <f>"248030103011"</f>
        <v>248030103011</v>
      </c>
      <c r="O6224" t="str">
        <f>"460103200411190328"</f>
        <v>460103200411190328</v>
      </c>
    </row>
    <row r="6225" customFormat="1" spans="1:15">
      <c r="A6225">
        <v>7933</v>
      </c>
      <c r="B6225" t="s">
        <v>6489</v>
      </c>
      <c r="C6225" t="str">
        <f>"460036199601295223"</f>
        <v>460036199601295223</v>
      </c>
      <c r="D6225" t="str">
        <f>"248030503824"</f>
        <v>248030503824</v>
      </c>
      <c r="L6225">
        <v>7933</v>
      </c>
      <c r="M6225" t="s">
        <v>6489</v>
      </c>
      <c r="N6225" t="str">
        <f>"248030503824"</f>
        <v>248030503824</v>
      </c>
      <c r="O6225" t="str">
        <f>"460036199601295223"</f>
        <v>460036199601295223</v>
      </c>
    </row>
    <row r="6226" customFormat="1" spans="1:15">
      <c r="A6226">
        <v>7937</v>
      </c>
      <c r="B6226" t="s">
        <v>6490</v>
      </c>
      <c r="C6226" t="str">
        <f>"652827199410243628"</f>
        <v>652827199410243628</v>
      </c>
      <c r="L6226">
        <v>7937</v>
      </c>
      <c r="M6226" t="s">
        <v>6490</v>
      </c>
      <c r="O6226" t="str">
        <f>"652827199410243628"</f>
        <v>652827199410243628</v>
      </c>
    </row>
    <row r="6227" customFormat="1" spans="1:15">
      <c r="A6227">
        <v>7940</v>
      </c>
      <c r="B6227" t="s">
        <v>6491</v>
      </c>
      <c r="C6227" t="str">
        <f>"130823199905270047"</f>
        <v>130823199905270047</v>
      </c>
      <c r="D6227" t="str">
        <f>"248030400319"</f>
        <v>248030400319</v>
      </c>
      <c r="L6227">
        <v>7940</v>
      </c>
      <c r="M6227" t="s">
        <v>6491</v>
      </c>
      <c r="N6227" t="str">
        <f>"248030400319"</f>
        <v>248030400319</v>
      </c>
      <c r="O6227" t="str">
        <f>"130823199905270047"</f>
        <v>130823199905270047</v>
      </c>
    </row>
    <row r="6228" customFormat="1" spans="1:15">
      <c r="A6228">
        <v>7941</v>
      </c>
      <c r="B6228" t="s">
        <v>6492</v>
      </c>
      <c r="C6228" t="str">
        <f>"460007200211120827"</f>
        <v>460007200211120827</v>
      </c>
      <c r="D6228" t="str">
        <f>"248030101007"</f>
        <v>248030101007</v>
      </c>
      <c r="L6228">
        <v>7941</v>
      </c>
      <c r="M6228" t="s">
        <v>6492</v>
      </c>
      <c r="N6228" t="str">
        <f>"248030101007"</f>
        <v>248030101007</v>
      </c>
      <c r="O6228" t="str">
        <f>"460007200211120827"</f>
        <v>460007200211120827</v>
      </c>
    </row>
    <row r="6229" customFormat="1" spans="1:15">
      <c r="A6229">
        <v>7945</v>
      </c>
      <c r="B6229" t="s">
        <v>745</v>
      </c>
      <c r="C6229" t="str">
        <f>"460031199710010846"</f>
        <v>460031199710010846</v>
      </c>
      <c r="D6229" t="str">
        <f>"248030101318"</f>
        <v>248030101318</v>
      </c>
      <c r="L6229">
        <v>7945</v>
      </c>
      <c r="M6229" t="s">
        <v>745</v>
      </c>
      <c r="N6229" t="str">
        <f>"248030101318"</f>
        <v>248030101318</v>
      </c>
      <c r="O6229" t="str">
        <f>"460031199710010846"</f>
        <v>460031199710010846</v>
      </c>
    </row>
    <row r="6230" customFormat="1" spans="1:15">
      <c r="A6230">
        <v>7946</v>
      </c>
      <c r="B6230" t="s">
        <v>6493</v>
      </c>
      <c r="C6230" t="str">
        <f>"232321199804092021"</f>
        <v>232321199804092021</v>
      </c>
      <c r="D6230" t="str">
        <f>"248030100104"</f>
        <v>248030100104</v>
      </c>
      <c r="L6230">
        <v>7946</v>
      </c>
      <c r="M6230" t="s">
        <v>6493</v>
      </c>
      <c r="N6230" t="str">
        <f>"248030100104"</f>
        <v>248030100104</v>
      </c>
      <c r="O6230" t="str">
        <f>"232321199804092021"</f>
        <v>232321199804092021</v>
      </c>
    </row>
    <row r="6231" customFormat="1" spans="1:15">
      <c r="A6231">
        <v>7947</v>
      </c>
      <c r="B6231" t="s">
        <v>6494</v>
      </c>
      <c r="C6231" t="str">
        <f>"532924199910310048"</f>
        <v>532924199910310048</v>
      </c>
      <c r="D6231" t="str">
        <f>"248030101919"</f>
        <v>248030101919</v>
      </c>
      <c r="L6231">
        <v>7947</v>
      </c>
      <c r="M6231" t="s">
        <v>6494</v>
      </c>
      <c r="N6231" t="str">
        <f>"248030101919"</f>
        <v>248030101919</v>
      </c>
      <c r="O6231" t="str">
        <f>"532924199910310048"</f>
        <v>532924199910310048</v>
      </c>
    </row>
    <row r="6232" customFormat="1" spans="1:15">
      <c r="A6232">
        <v>7948</v>
      </c>
      <c r="B6232" t="s">
        <v>6495</v>
      </c>
      <c r="C6232" t="str">
        <f>"371202198505305729"</f>
        <v>371202198505305729</v>
      </c>
      <c r="D6232" t="str">
        <f>"248030501412"</f>
        <v>248030501412</v>
      </c>
      <c r="L6232">
        <v>7948</v>
      </c>
      <c r="M6232" t="s">
        <v>6495</v>
      </c>
      <c r="N6232" t="str">
        <f>"248030501412"</f>
        <v>248030501412</v>
      </c>
      <c r="O6232" t="str">
        <f>"371202198505305729"</f>
        <v>371202198505305729</v>
      </c>
    </row>
    <row r="6233" customFormat="1" spans="1:15">
      <c r="A6233">
        <v>7949</v>
      </c>
      <c r="B6233" t="s">
        <v>6496</v>
      </c>
      <c r="C6233" t="str">
        <f>"429006199912044221"</f>
        <v>429006199912044221</v>
      </c>
      <c r="D6233" t="str">
        <f>"248030501708"</f>
        <v>248030501708</v>
      </c>
      <c r="L6233">
        <v>7949</v>
      </c>
      <c r="M6233" t="s">
        <v>6496</v>
      </c>
      <c r="N6233" t="str">
        <f>"248030501708"</f>
        <v>248030501708</v>
      </c>
      <c r="O6233" t="str">
        <f>"429006199912044221"</f>
        <v>429006199912044221</v>
      </c>
    </row>
    <row r="6234" customFormat="1" spans="1:15">
      <c r="A6234">
        <v>7950</v>
      </c>
      <c r="B6234" t="s">
        <v>6497</v>
      </c>
      <c r="C6234" t="str">
        <f>"460103199505210312"</f>
        <v>460103199505210312</v>
      </c>
      <c r="D6234" t="str">
        <f>"248030300115"</f>
        <v>248030300115</v>
      </c>
      <c r="L6234">
        <v>7950</v>
      </c>
      <c r="M6234" t="s">
        <v>6497</v>
      </c>
      <c r="N6234" t="str">
        <f>"248030300115"</f>
        <v>248030300115</v>
      </c>
      <c r="O6234" t="str">
        <f>"460103199505210312"</f>
        <v>460103199505210312</v>
      </c>
    </row>
    <row r="6235" customFormat="1" spans="1:15">
      <c r="A6235">
        <v>7951</v>
      </c>
      <c r="B6235" t="s">
        <v>6498</v>
      </c>
      <c r="C6235" t="str">
        <f>"460026199508100046"</f>
        <v>460026199508100046</v>
      </c>
      <c r="D6235" t="str">
        <f>"248030402122"</f>
        <v>248030402122</v>
      </c>
      <c r="L6235">
        <v>7951</v>
      </c>
      <c r="M6235" t="s">
        <v>6498</v>
      </c>
      <c r="N6235" t="str">
        <f>"248030402122"</f>
        <v>248030402122</v>
      </c>
      <c r="O6235" t="str">
        <f>"460026199508100046"</f>
        <v>460026199508100046</v>
      </c>
    </row>
    <row r="6236" customFormat="1" spans="1:15">
      <c r="A6236">
        <v>7952</v>
      </c>
      <c r="B6236" t="s">
        <v>6499</v>
      </c>
      <c r="C6236" t="str">
        <f>"460022199709246222"</f>
        <v>460022199709246222</v>
      </c>
      <c r="D6236" t="str">
        <f>"248030401906"</f>
        <v>248030401906</v>
      </c>
      <c r="L6236">
        <v>7952</v>
      </c>
      <c r="M6236" t="s">
        <v>6499</v>
      </c>
      <c r="N6236" t="str">
        <f>"248030401906"</f>
        <v>248030401906</v>
      </c>
      <c r="O6236" t="str">
        <f>"460022199709246222"</f>
        <v>460022199709246222</v>
      </c>
    </row>
    <row r="6237" customFormat="1" spans="1:15">
      <c r="A6237">
        <v>7953</v>
      </c>
      <c r="B6237" t="s">
        <v>6500</v>
      </c>
      <c r="C6237" t="str">
        <f>"460006200210156821"</f>
        <v>460006200210156821</v>
      </c>
      <c r="L6237">
        <v>7953</v>
      </c>
      <c r="M6237" t="s">
        <v>6500</v>
      </c>
      <c r="O6237" t="str">
        <f>"460006200210156821"</f>
        <v>460006200210156821</v>
      </c>
    </row>
    <row r="6238" customFormat="1" spans="1:15">
      <c r="A6238">
        <v>7954</v>
      </c>
      <c r="B6238" t="s">
        <v>6501</v>
      </c>
      <c r="C6238" t="str">
        <f>"46000620010129132X"</f>
        <v>46000620010129132X</v>
      </c>
      <c r="D6238" t="str">
        <f>"248030503804"</f>
        <v>248030503804</v>
      </c>
      <c r="L6238">
        <v>7954</v>
      </c>
      <c r="M6238" t="s">
        <v>6501</v>
      </c>
      <c r="N6238" t="str">
        <f>"248030503804"</f>
        <v>248030503804</v>
      </c>
      <c r="O6238" t="str">
        <f>"46000620010129132X"</f>
        <v>46000620010129132X</v>
      </c>
    </row>
    <row r="6239" customFormat="1" spans="1:15">
      <c r="A6239">
        <v>7955</v>
      </c>
      <c r="B6239" t="s">
        <v>6502</v>
      </c>
      <c r="C6239" t="str">
        <f>"460003199109126025"</f>
        <v>460003199109126025</v>
      </c>
      <c r="D6239" t="str">
        <f>"248030300404"</f>
        <v>248030300404</v>
      </c>
      <c r="L6239">
        <v>7955</v>
      </c>
      <c r="M6239" t="s">
        <v>6502</v>
      </c>
      <c r="N6239" t="str">
        <f>"248030300404"</f>
        <v>248030300404</v>
      </c>
      <c r="O6239" t="str">
        <f>"460003199109126025"</f>
        <v>460003199109126025</v>
      </c>
    </row>
    <row r="6240" customFormat="1" spans="1:15">
      <c r="A6240">
        <v>7956</v>
      </c>
      <c r="B6240" t="s">
        <v>6503</v>
      </c>
      <c r="C6240" t="str">
        <f>"500242199310013944"</f>
        <v>500242199310013944</v>
      </c>
      <c r="D6240" t="str">
        <f>"248030501701"</f>
        <v>248030501701</v>
      </c>
      <c r="L6240">
        <v>7956</v>
      </c>
      <c r="M6240" t="s">
        <v>6503</v>
      </c>
      <c r="N6240" t="str">
        <f>"248030501701"</f>
        <v>248030501701</v>
      </c>
      <c r="O6240" t="str">
        <f>"500242199310013944"</f>
        <v>500242199310013944</v>
      </c>
    </row>
    <row r="6241" customFormat="1" spans="1:15">
      <c r="A6241">
        <v>7958</v>
      </c>
      <c r="B6241" t="s">
        <v>6504</v>
      </c>
      <c r="C6241" t="str">
        <f>"46903020001113082X"</f>
        <v>46903020001113082X</v>
      </c>
      <c r="D6241" t="str">
        <f>"248030101202"</f>
        <v>248030101202</v>
      </c>
      <c r="L6241">
        <v>7958</v>
      </c>
      <c r="M6241" t="s">
        <v>6504</v>
      </c>
      <c r="N6241" t="str">
        <f>"248030101202"</f>
        <v>248030101202</v>
      </c>
      <c r="O6241" t="str">
        <f>"46903020001113082X"</f>
        <v>46903020001113082X</v>
      </c>
    </row>
    <row r="6242" customFormat="1" spans="1:15">
      <c r="A6242">
        <v>7959</v>
      </c>
      <c r="B6242" t="s">
        <v>6505</v>
      </c>
      <c r="C6242" t="str">
        <f>"460028199908260818"</f>
        <v>460028199908260818</v>
      </c>
      <c r="L6242">
        <v>7959</v>
      </c>
      <c r="M6242" t="s">
        <v>6505</v>
      </c>
      <c r="O6242" t="str">
        <f>"460028199908260818"</f>
        <v>460028199908260818</v>
      </c>
    </row>
    <row r="6243" customFormat="1" spans="1:15">
      <c r="A6243">
        <v>7960</v>
      </c>
      <c r="B6243" t="s">
        <v>6506</v>
      </c>
      <c r="C6243" t="str">
        <f>"460028199704103626"</f>
        <v>460028199704103626</v>
      </c>
      <c r="L6243">
        <v>7960</v>
      </c>
      <c r="M6243" t="s">
        <v>6506</v>
      </c>
      <c r="O6243" t="str">
        <f>"460028199704103626"</f>
        <v>460028199704103626</v>
      </c>
    </row>
    <row r="6244" customFormat="1" spans="1:15">
      <c r="A6244">
        <v>7962</v>
      </c>
      <c r="B6244" t="s">
        <v>6507</v>
      </c>
      <c r="C6244" t="str">
        <f>"460001199702180724"</f>
        <v>460001199702180724</v>
      </c>
      <c r="D6244" t="str">
        <f>"248030201009"</f>
        <v>248030201009</v>
      </c>
      <c r="L6244">
        <v>7962</v>
      </c>
      <c r="M6244" t="s">
        <v>6507</v>
      </c>
      <c r="N6244" t="str">
        <f>"248030201009"</f>
        <v>248030201009</v>
      </c>
      <c r="O6244" t="str">
        <f>"460001199702180724"</f>
        <v>460001199702180724</v>
      </c>
    </row>
    <row r="6245" customFormat="1" spans="1:15">
      <c r="A6245">
        <v>7963</v>
      </c>
      <c r="B6245" t="s">
        <v>6508</v>
      </c>
      <c r="C6245" t="str">
        <f>"460030199104085120"</f>
        <v>460030199104085120</v>
      </c>
      <c r="D6245" t="str">
        <f>"248030501302"</f>
        <v>248030501302</v>
      </c>
      <c r="L6245">
        <v>7963</v>
      </c>
      <c r="M6245" t="s">
        <v>6508</v>
      </c>
      <c r="N6245" t="str">
        <f>"248030501302"</f>
        <v>248030501302</v>
      </c>
      <c r="O6245" t="str">
        <f>"460030199104085120"</f>
        <v>460030199104085120</v>
      </c>
    </row>
    <row r="6246" customFormat="1" spans="1:15">
      <c r="A6246">
        <v>7964</v>
      </c>
      <c r="B6246" t="s">
        <v>6509</v>
      </c>
      <c r="C6246" t="str">
        <f>"469003200102045621"</f>
        <v>469003200102045621</v>
      </c>
      <c r="D6246" t="str">
        <f>"248030300524"</f>
        <v>248030300524</v>
      </c>
      <c r="L6246">
        <v>7964</v>
      </c>
      <c r="M6246" t="s">
        <v>6509</v>
      </c>
      <c r="N6246" t="str">
        <f>"248030300524"</f>
        <v>248030300524</v>
      </c>
      <c r="O6246" t="str">
        <f>"469003200102045621"</f>
        <v>469003200102045621</v>
      </c>
    </row>
    <row r="6247" customFormat="1" spans="1:15">
      <c r="A6247">
        <v>7965</v>
      </c>
      <c r="B6247" t="s">
        <v>2076</v>
      </c>
      <c r="C6247" t="str">
        <f>"460006200212024849"</f>
        <v>460006200212024849</v>
      </c>
      <c r="D6247" t="str">
        <f>"248030301519"</f>
        <v>248030301519</v>
      </c>
      <c r="L6247">
        <v>7965</v>
      </c>
      <c r="M6247" t="s">
        <v>2076</v>
      </c>
      <c r="N6247" t="str">
        <f>"248030301519"</f>
        <v>248030301519</v>
      </c>
      <c r="O6247" t="str">
        <f>"460006200212024849"</f>
        <v>460006200212024849</v>
      </c>
    </row>
    <row r="6248" customFormat="1" spans="1:15">
      <c r="A6248">
        <v>7966</v>
      </c>
      <c r="B6248" t="s">
        <v>6510</v>
      </c>
      <c r="C6248" t="str">
        <f>"460200198910013445"</f>
        <v>460200198910013445</v>
      </c>
      <c r="D6248" t="str">
        <f>"248030404229"</f>
        <v>248030404229</v>
      </c>
      <c r="L6248">
        <v>7966</v>
      </c>
      <c r="M6248" t="s">
        <v>6510</v>
      </c>
      <c r="N6248" t="str">
        <f>"248030404229"</f>
        <v>248030404229</v>
      </c>
      <c r="O6248" t="str">
        <f>"460200198910013445"</f>
        <v>460200198910013445</v>
      </c>
    </row>
    <row r="6249" customFormat="1" spans="1:15">
      <c r="A6249">
        <v>7967</v>
      </c>
      <c r="B6249" t="s">
        <v>6511</v>
      </c>
      <c r="C6249" t="str">
        <f>"460033200105233222"</f>
        <v>460033200105233222</v>
      </c>
      <c r="D6249" t="str">
        <f>"248030100608"</f>
        <v>248030100608</v>
      </c>
      <c r="L6249">
        <v>7967</v>
      </c>
      <c r="M6249" t="s">
        <v>6511</v>
      </c>
      <c r="N6249" t="str">
        <f>"248030100608"</f>
        <v>248030100608</v>
      </c>
      <c r="O6249" t="str">
        <f>"460033200105233222"</f>
        <v>460033200105233222</v>
      </c>
    </row>
    <row r="6250" customFormat="1" spans="1:15">
      <c r="A6250">
        <v>7968</v>
      </c>
      <c r="B6250" t="s">
        <v>6512</v>
      </c>
      <c r="C6250" t="str">
        <f>"460007199509017229"</f>
        <v>460007199509017229</v>
      </c>
      <c r="D6250" t="str">
        <f>"248030402803"</f>
        <v>248030402803</v>
      </c>
      <c r="L6250">
        <v>7968</v>
      </c>
      <c r="M6250" t="s">
        <v>6512</v>
      </c>
      <c r="N6250" t="str">
        <f>"248030402803"</f>
        <v>248030402803</v>
      </c>
      <c r="O6250" t="str">
        <f>"460007199509017229"</f>
        <v>460007199509017229</v>
      </c>
    </row>
    <row r="6251" customFormat="1" spans="1:15">
      <c r="A6251">
        <v>7969</v>
      </c>
      <c r="B6251" t="s">
        <v>6513</v>
      </c>
      <c r="C6251" t="str">
        <f>"46000620021003236X"</f>
        <v>46000620021003236X</v>
      </c>
      <c r="D6251" t="str">
        <f>"248030503028"</f>
        <v>248030503028</v>
      </c>
      <c r="L6251">
        <v>7969</v>
      </c>
      <c r="M6251" t="s">
        <v>6513</v>
      </c>
      <c r="N6251" t="str">
        <f>"248030503028"</f>
        <v>248030503028</v>
      </c>
      <c r="O6251" t="str">
        <f>"46000620021003236X"</f>
        <v>46000620021003236X</v>
      </c>
    </row>
    <row r="6252" customFormat="1" spans="1:15">
      <c r="A6252">
        <v>7970</v>
      </c>
      <c r="B6252" t="s">
        <v>6514</v>
      </c>
      <c r="C6252" t="str">
        <f>"46003020010413002X"</f>
        <v>46003020010413002X</v>
      </c>
      <c r="D6252" t="str">
        <f>"248030102429"</f>
        <v>248030102429</v>
      </c>
      <c r="L6252">
        <v>7970</v>
      </c>
      <c r="M6252" t="s">
        <v>6514</v>
      </c>
      <c r="N6252" t="str">
        <f>"248030102429"</f>
        <v>248030102429</v>
      </c>
      <c r="O6252" t="str">
        <f>"46003020010413002X"</f>
        <v>46003020010413002X</v>
      </c>
    </row>
    <row r="6253" customFormat="1" spans="1:15">
      <c r="A6253">
        <v>7972</v>
      </c>
      <c r="B6253" t="s">
        <v>6515</v>
      </c>
      <c r="C6253" t="str">
        <f>"460033200204114587"</f>
        <v>460033200204114587</v>
      </c>
      <c r="D6253" t="str">
        <f>"248030403920"</f>
        <v>248030403920</v>
      </c>
      <c r="L6253">
        <v>7972</v>
      </c>
      <c r="M6253" t="s">
        <v>6515</v>
      </c>
      <c r="N6253" t="str">
        <f>"248030403920"</f>
        <v>248030403920</v>
      </c>
      <c r="O6253" t="str">
        <f>"460033200204114587"</f>
        <v>460033200204114587</v>
      </c>
    </row>
    <row r="6254" customFormat="1" spans="1:15">
      <c r="A6254">
        <v>7973</v>
      </c>
      <c r="B6254" t="s">
        <v>6516</v>
      </c>
      <c r="C6254" t="str">
        <f>"460007199205164967"</f>
        <v>460007199205164967</v>
      </c>
      <c r="D6254" t="str">
        <f>"248030500305"</f>
        <v>248030500305</v>
      </c>
      <c r="L6254">
        <v>7973</v>
      </c>
      <c r="M6254" t="s">
        <v>6516</v>
      </c>
      <c r="N6254" t="str">
        <f>"248030500305"</f>
        <v>248030500305</v>
      </c>
      <c r="O6254" t="str">
        <f>"460007199205164967"</f>
        <v>460007199205164967</v>
      </c>
    </row>
    <row r="6255" customFormat="1" spans="1:15">
      <c r="A6255">
        <v>7974</v>
      </c>
      <c r="B6255" t="s">
        <v>6517</v>
      </c>
      <c r="C6255" t="str">
        <f>"460003200010087623"</f>
        <v>460003200010087623</v>
      </c>
      <c r="D6255" t="str">
        <f>"248030403129"</f>
        <v>248030403129</v>
      </c>
      <c r="L6255">
        <v>7974</v>
      </c>
      <c r="M6255" t="s">
        <v>6517</v>
      </c>
      <c r="N6255" t="str">
        <f>"248030403129"</f>
        <v>248030403129</v>
      </c>
      <c r="O6255" t="str">
        <f>"460003200010087623"</f>
        <v>460003200010087623</v>
      </c>
    </row>
    <row r="6256" customFormat="1" spans="1:15">
      <c r="A6256">
        <v>7976</v>
      </c>
      <c r="B6256" t="s">
        <v>6518</v>
      </c>
      <c r="C6256" t="str">
        <f>"469024199804190029"</f>
        <v>469024199804190029</v>
      </c>
      <c r="D6256" t="str">
        <f>"248030503916"</f>
        <v>248030503916</v>
      </c>
      <c r="L6256">
        <v>7976</v>
      </c>
      <c r="M6256" t="s">
        <v>6518</v>
      </c>
      <c r="N6256" t="str">
        <f>"248030503916"</f>
        <v>248030503916</v>
      </c>
      <c r="O6256" t="str">
        <f>"469024199804190029"</f>
        <v>469024199804190029</v>
      </c>
    </row>
    <row r="6257" customFormat="1" spans="1:15">
      <c r="A6257">
        <v>7978</v>
      </c>
      <c r="B6257" t="s">
        <v>6519</v>
      </c>
      <c r="C6257" t="str">
        <f>"460102198912050941"</f>
        <v>460102198912050941</v>
      </c>
      <c r="D6257" t="str">
        <f>"248030502918"</f>
        <v>248030502918</v>
      </c>
      <c r="L6257">
        <v>7978</v>
      </c>
      <c r="M6257" t="s">
        <v>6519</v>
      </c>
      <c r="N6257" t="str">
        <f>"248030502918"</f>
        <v>248030502918</v>
      </c>
      <c r="O6257" t="str">
        <f>"460102198912050941"</f>
        <v>460102198912050941</v>
      </c>
    </row>
    <row r="6258" customFormat="1" spans="1:15">
      <c r="A6258">
        <v>7980</v>
      </c>
      <c r="B6258" t="s">
        <v>6520</v>
      </c>
      <c r="C6258" t="str">
        <f>"460003200206046620"</f>
        <v>460003200206046620</v>
      </c>
      <c r="D6258" t="str">
        <f>"248030100102"</f>
        <v>248030100102</v>
      </c>
      <c r="L6258">
        <v>7980</v>
      </c>
      <c r="M6258" t="s">
        <v>6520</v>
      </c>
      <c r="N6258" t="str">
        <f>"248030100102"</f>
        <v>248030100102</v>
      </c>
      <c r="O6258" t="str">
        <f>"460003200206046620"</f>
        <v>460003200206046620</v>
      </c>
    </row>
    <row r="6259" customFormat="1" spans="1:15">
      <c r="A6259">
        <v>7981</v>
      </c>
      <c r="B6259" t="s">
        <v>6521</v>
      </c>
      <c r="C6259" t="str">
        <f>"460103200011060313"</f>
        <v>460103200011060313</v>
      </c>
      <c r="D6259" t="str">
        <f>"248030105019"</f>
        <v>248030105019</v>
      </c>
      <c r="L6259">
        <v>7981</v>
      </c>
      <c r="M6259" t="s">
        <v>6521</v>
      </c>
      <c r="N6259" t="str">
        <f>"248030105019"</f>
        <v>248030105019</v>
      </c>
      <c r="O6259" t="str">
        <f>"460103200011060313"</f>
        <v>460103200011060313</v>
      </c>
    </row>
    <row r="6260" customFormat="1" spans="1:15">
      <c r="A6260">
        <v>7982</v>
      </c>
      <c r="B6260" t="s">
        <v>6522</v>
      </c>
      <c r="C6260" t="str">
        <f>"460200200004280314"</f>
        <v>460200200004280314</v>
      </c>
      <c r="L6260">
        <v>7982</v>
      </c>
      <c r="M6260" t="s">
        <v>6522</v>
      </c>
      <c r="O6260" t="str">
        <f>"460200200004280314"</f>
        <v>460200200004280314</v>
      </c>
    </row>
    <row r="6261" customFormat="1" spans="1:15">
      <c r="A6261">
        <v>7983</v>
      </c>
      <c r="B6261" t="s">
        <v>4028</v>
      </c>
      <c r="C6261" t="str">
        <f>"460030199706200923"</f>
        <v>460030199706200923</v>
      </c>
      <c r="D6261" t="str">
        <f>"248030502208"</f>
        <v>248030502208</v>
      </c>
      <c r="L6261">
        <v>7983</v>
      </c>
      <c r="M6261" t="s">
        <v>4028</v>
      </c>
      <c r="N6261" t="str">
        <f>"248030502208"</f>
        <v>248030502208</v>
      </c>
      <c r="O6261" t="str">
        <f>"460030199706200923"</f>
        <v>460030199706200923</v>
      </c>
    </row>
    <row r="6262" customFormat="1" spans="1:15">
      <c r="A6262">
        <v>7984</v>
      </c>
      <c r="B6262" t="s">
        <v>6523</v>
      </c>
      <c r="C6262" t="str">
        <f>"460200199604154906"</f>
        <v>460200199604154906</v>
      </c>
      <c r="D6262" t="str">
        <f>"248030102707"</f>
        <v>248030102707</v>
      </c>
      <c r="L6262">
        <v>7984</v>
      </c>
      <c r="M6262" t="s">
        <v>6523</v>
      </c>
      <c r="N6262" t="str">
        <f>"248030102707"</f>
        <v>248030102707</v>
      </c>
      <c r="O6262" t="str">
        <f>"460200199604154906"</f>
        <v>460200199604154906</v>
      </c>
    </row>
    <row r="6263" customFormat="1" spans="1:15">
      <c r="A6263">
        <v>7985</v>
      </c>
      <c r="B6263" t="s">
        <v>6524</v>
      </c>
      <c r="C6263" t="str">
        <f>"460004199301020243"</f>
        <v>460004199301020243</v>
      </c>
      <c r="D6263" t="str">
        <f>"248030501826"</f>
        <v>248030501826</v>
      </c>
      <c r="L6263">
        <v>7985</v>
      </c>
      <c r="M6263" t="s">
        <v>6524</v>
      </c>
      <c r="N6263" t="str">
        <f>"248030501826"</f>
        <v>248030501826</v>
      </c>
      <c r="O6263" t="str">
        <f>"460004199301020243"</f>
        <v>460004199301020243</v>
      </c>
    </row>
    <row r="6264" customFormat="1" spans="1:15">
      <c r="A6264">
        <v>7986</v>
      </c>
      <c r="B6264" t="s">
        <v>2089</v>
      </c>
      <c r="C6264" t="str">
        <f>"342422198710010163"</f>
        <v>342422198710010163</v>
      </c>
      <c r="D6264" t="str">
        <f>"248030402427"</f>
        <v>248030402427</v>
      </c>
      <c r="L6264">
        <v>7986</v>
      </c>
      <c r="M6264" t="s">
        <v>2089</v>
      </c>
      <c r="N6264" t="str">
        <f>"248030402427"</f>
        <v>248030402427</v>
      </c>
      <c r="O6264" t="str">
        <f>"342422198710010163"</f>
        <v>342422198710010163</v>
      </c>
    </row>
    <row r="6265" customFormat="1" spans="1:15">
      <c r="A6265">
        <v>7988</v>
      </c>
      <c r="B6265" t="s">
        <v>6525</v>
      </c>
      <c r="C6265" t="str">
        <f>"460034199810215047"</f>
        <v>460034199810215047</v>
      </c>
      <c r="L6265">
        <v>7988</v>
      </c>
      <c r="M6265" t="s">
        <v>6525</v>
      </c>
      <c r="O6265" t="str">
        <f>"460034199810215047"</f>
        <v>460034199810215047</v>
      </c>
    </row>
    <row r="6266" customFormat="1" spans="1:15">
      <c r="A6266">
        <v>7990</v>
      </c>
      <c r="B6266" t="s">
        <v>6526</v>
      </c>
      <c r="C6266" t="str">
        <f>"46002819970616246X"</f>
        <v>46002819970616246X</v>
      </c>
      <c r="D6266" t="str">
        <f>"248030201426"</f>
        <v>248030201426</v>
      </c>
      <c r="L6266">
        <v>7990</v>
      </c>
      <c r="M6266" t="s">
        <v>6526</v>
      </c>
      <c r="N6266" t="str">
        <f>"248030201426"</f>
        <v>248030201426</v>
      </c>
      <c r="O6266" t="str">
        <f>"46002819970616246X"</f>
        <v>46002819970616246X</v>
      </c>
    </row>
    <row r="6267" customFormat="1" spans="1:15">
      <c r="A6267">
        <v>7991</v>
      </c>
      <c r="B6267" t="s">
        <v>6527</v>
      </c>
      <c r="C6267" t="str">
        <f>"460003199812023247"</f>
        <v>460003199812023247</v>
      </c>
      <c r="D6267" t="str">
        <f>"248030500514"</f>
        <v>248030500514</v>
      </c>
      <c r="L6267">
        <v>7991</v>
      </c>
      <c r="M6267" t="s">
        <v>6527</v>
      </c>
      <c r="N6267" t="str">
        <f>"248030500514"</f>
        <v>248030500514</v>
      </c>
      <c r="O6267" t="str">
        <f>"460003199812023247"</f>
        <v>460003199812023247</v>
      </c>
    </row>
    <row r="6268" customFormat="1" spans="1:15">
      <c r="A6268">
        <v>7992</v>
      </c>
      <c r="B6268" t="s">
        <v>6528</v>
      </c>
      <c r="C6268" t="str">
        <f>"460007200208047227"</f>
        <v>460007200208047227</v>
      </c>
      <c r="D6268" t="str">
        <f>"248030102814"</f>
        <v>248030102814</v>
      </c>
      <c r="L6268">
        <v>7992</v>
      </c>
      <c r="M6268" t="s">
        <v>6528</v>
      </c>
      <c r="N6268" t="str">
        <f>"248030102814"</f>
        <v>248030102814</v>
      </c>
      <c r="O6268" t="str">
        <f>"460007200208047227"</f>
        <v>460007200208047227</v>
      </c>
    </row>
    <row r="6269" customFormat="1" spans="1:15">
      <c r="A6269">
        <v>7993</v>
      </c>
      <c r="B6269" t="s">
        <v>6529</v>
      </c>
      <c r="C6269" t="str">
        <f>"152326198411151198"</f>
        <v>152326198411151198</v>
      </c>
      <c r="L6269">
        <v>7993</v>
      </c>
      <c r="M6269" t="s">
        <v>6529</v>
      </c>
      <c r="O6269" t="str">
        <f>"152326198411151198"</f>
        <v>152326198411151198</v>
      </c>
    </row>
    <row r="6270" customFormat="1" spans="1:15">
      <c r="A6270">
        <v>7994</v>
      </c>
      <c r="B6270" t="s">
        <v>6530</v>
      </c>
      <c r="C6270" t="str">
        <f>"46902420011018042X"</f>
        <v>46902420011018042X</v>
      </c>
      <c r="D6270" t="str">
        <f>"248030301315"</f>
        <v>248030301315</v>
      </c>
      <c r="L6270">
        <v>7994</v>
      </c>
      <c r="M6270" t="s">
        <v>6530</v>
      </c>
      <c r="N6270" t="str">
        <f>"248030301315"</f>
        <v>248030301315</v>
      </c>
      <c r="O6270" t="str">
        <f>"46902420011018042X"</f>
        <v>46902420011018042X</v>
      </c>
    </row>
    <row r="6271" customFormat="1" spans="1:15">
      <c r="A6271">
        <v>7995</v>
      </c>
      <c r="B6271" t="s">
        <v>6531</v>
      </c>
      <c r="C6271" t="str">
        <f>"460005200210103221"</f>
        <v>460005200210103221</v>
      </c>
      <c r="D6271" t="str">
        <f>"248030502226"</f>
        <v>248030502226</v>
      </c>
      <c r="L6271">
        <v>7995</v>
      </c>
      <c r="M6271" t="s">
        <v>6531</v>
      </c>
      <c r="N6271" t="str">
        <f>"248030502226"</f>
        <v>248030502226</v>
      </c>
      <c r="O6271" t="str">
        <f>"460005200210103221"</f>
        <v>460005200210103221</v>
      </c>
    </row>
    <row r="6272" customFormat="1" spans="1:15">
      <c r="A6272">
        <v>7996</v>
      </c>
      <c r="B6272" t="s">
        <v>6532</v>
      </c>
      <c r="C6272" t="str">
        <f>"46003320000302418X"</f>
        <v>46003320000302418X</v>
      </c>
      <c r="D6272" t="str">
        <f>"248030203025"</f>
        <v>248030203025</v>
      </c>
      <c r="L6272">
        <v>7996</v>
      </c>
      <c r="M6272" t="s">
        <v>6532</v>
      </c>
      <c r="N6272" t="str">
        <f>"248030203025"</f>
        <v>248030203025</v>
      </c>
      <c r="O6272" t="str">
        <f>"46003320000302418X"</f>
        <v>46003320000302418X</v>
      </c>
    </row>
    <row r="6273" customFormat="1" spans="1:15">
      <c r="A6273">
        <v>7999</v>
      </c>
      <c r="B6273" t="s">
        <v>6533</v>
      </c>
      <c r="C6273" t="str">
        <f>"460103200102022427"</f>
        <v>460103200102022427</v>
      </c>
      <c r="L6273">
        <v>7999</v>
      </c>
      <c r="M6273" t="s">
        <v>6533</v>
      </c>
      <c r="O6273" t="str">
        <f>"460103200102022427"</f>
        <v>460103200102022427</v>
      </c>
    </row>
    <row r="6274" customFormat="1" spans="1:15">
      <c r="A6274">
        <v>8000</v>
      </c>
      <c r="B6274" t="s">
        <v>6534</v>
      </c>
      <c r="C6274" t="str">
        <f>"460104200103110329"</f>
        <v>460104200103110329</v>
      </c>
      <c r="D6274" t="str">
        <f>"248030102228"</f>
        <v>248030102228</v>
      </c>
      <c r="L6274">
        <v>8000</v>
      </c>
      <c r="M6274" t="s">
        <v>6534</v>
      </c>
      <c r="N6274" t="str">
        <f>"248030102228"</f>
        <v>248030102228</v>
      </c>
      <c r="O6274" t="str">
        <f>"460104200103110329"</f>
        <v>460104200103110329</v>
      </c>
    </row>
    <row r="6275" customFormat="1" spans="1:15">
      <c r="A6275">
        <v>8001</v>
      </c>
      <c r="B6275" t="s">
        <v>6535</v>
      </c>
      <c r="C6275" t="str">
        <f>"460060200001173957"</f>
        <v>460060200001173957</v>
      </c>
      <c r="D6275" t="str">
        <f>"248030201609"</f>
        <v>248030201609</v>
      </c>
      <c r="L6275">
        <v>8001</v>
      </c>
      <c r="M6275" t="s">
        <v>6535</v>
      </c>
      <c r="N6275" t="str">
        <f>"248030201609"</f>
        <v>248030201609</v>
      </c>
      <c r="O6275" t="str">
        <f>"460060200001173957"</f>
        <v>460060200001173957</v>
      </c>
    </row>
    <row r="6276" customFormat="1" spans="1:15">
      <c r="A6276">
        <v>8002</v>
      </c>
      <c r="B6276" t="s">
        <v>6536</v>
      </c>
      <c r="C6276" t="str">
        <f>"460033199801173264"</f>
        <v>460033199801173264</v>
      </c>
      <c r="D6276" t="str">
        <f>"248030301920"</f>
        <v>248030301920</v>
      </c>
      <c r="L6276">
        <v>8002</v>
      </c>
      <c r="M6276" t="s">
        <v>6536</v>
      </c>
      <c r="N6276" t="str">
        <f>"248030301920"</f>
        <v>248030301920</v>
      </c>
      <c r="O6276" t="str">
        <f>"460033199801173264"</f>
        <v>460033199801173264</v>
      </c>
    </row>
    <row r="6277" customFormat="1" spans="1:15">
      <c r="A6277">
        <v>8003</v>
      </c>
      <c r="B6277" t="s">
        <v>6537</v>
      </c>
      <c r="C6277" t="str">
        <f>"460028199702275627"</f>
        <v>460028199702275627</v>
      </c>
      <c r="D6277" t="str">
        <f>"248030101205"</f>
        <v>248030101205</v>
      </c>
      <c r="L6277">
        <v>8003</v>
      </c>
      <c r="M6277" t="s">
        <v>6537</v>
      </c>
      <c r="N6277" t="str">
        <f>"248030101205"</f>
        <v>248030101205</v>
      </c>
      <c r="O6277" t="str">
        <f>"460028199702275627"</f>
        <v>460028199702275627</v>
      </c>
    </row>
    <row r="6278" customFormat="1" spans="1:15">
      <c r="A6278">
        <v>8004</v>
      </c>
      <c r="B6278" t="s">
        <v>6538</v>
      </c>
      <c r="C6278" t="str">
        <f>"460028200103070828"</f>
        <v>460028200103070828</v>
      </c>
      <c r="D6278" t="str">
        <f>"248030302407"</f>
        <v>248030302407</v>
      </c>
      <c r="L6278">
        <v>8004</v>
      </c>
      <c r="M6278" t="s">
        <v>6538</v>
      </c>
      <c r="N6278" t="str">
        <f>"248030302407"</f>
        <v>248030302407</v>
      </c>
      <c r="O6278" t="str">
        <f>"460028200103070828"</f>
        <v>460028200103070828</v>
      </c>
    </row>
    <row r="6279" customFormat="1" spans="1:15">
      <c r="A6279">
        <v>8006</v>
      </c>
      <c r="B6279" t="s">
        <v>6539</v>
      </c>
      <c r="C6279" t="str">
        <f>"469022200010221228"</f>
        <v>469022200010221228</v>
      </c>
      <c r="D6279" t="str">
        <f>"248030501617"</f>
        <v>248030501617</v>
      </c>
      <c r="L6279">
        <v>8006</v>
      </c>
      <c r="M6279" t="s">
        <v>6539</v>
      </c>
      <c r="N6279" t="str">
        <f>"248030501617"</f>
        <v>248030501617</v>
      </c>
      <c r="O6279" t="str">
        <f>"469022200010221228"</f>
        <v>469022200010221228</v>
      </c>
    </row>
    <row r="6280" customFormat="1" spans="1:15">
      <c r="A6280">
        <v>8007</v>
      </c>
      <c r="B6280" t="s">
        <v>6540</v>
      </c>
      <c r="C6280" t="str">
        <f>"610122200101292027"</f>
        <v>610122200101292027</v>
      </c>
      <c r="L6280">
        <v>8007</v>
      </c>
      <c r="M6280" t="s">
        <v>6540</v>
      </c>
      <c r="O6280" t="str">
        <f>"610122200101292027"</f>
        <v>610122200101292027</v>
      </c>
    </row>
    <row r="6281" customFormat="1" spans="1:15">
      <c r="A6281">
        <v>8008</v>
      </c>
      <c r="B6281" t="s">
        <v>6541</v>
      </c>
      <c r="C6281" t="str">
        <f>"460006199109290924"</f>
        <v>460006199109290924</v>
      </c>
      <c r="D6281" t="str">
        <f>"248030500127"</f>
        <v>248030500127</v>
      </c>
      <c r="L6281">
        <v>8008</v>
      </c>
      <c r="M6281" t="s">
        <v>6541</v>
      </c>
      <c r="N6281" t="str">
        <f>"248030500127"</f>
        <v>248030500127</v>
      </c>
      <c r="O6281" t="str">
        <f>"460006199109290924"</f>
        <v>460006199109290924</v>
      </c>
    </row>
    <row r="6282" customFormat="1" spans="1:15">
      <c r="A6282">
        <v>8010</v>
      </c>
      <c r="B6282" t="s">
        <v>6542</v>
      </c>
      <c r="C6282" t="str">
        <f>"460027198904053722"</f>
        <v>460027198904053722</v>
      </c>
      <c r="L6282">
        <v>8010</v>
      </c>
      <c r="M6282" t="s">
        <v>6542</v>
      </c>
      <c r="O6282" t="str">
        <f>"460027198904053722"</f>
        <v>460027198904053722</v>
      </c>
    </row>
    <row r="6283" customFormat="1" spans="1:15">
      <c r="A6283">
        <v>8012</v>
      </c>
      <c r="B6283" t="s">
        <v>6543</v>
      </c>
      <c r="C6283" t="str">
        <f>"460005199708296221"</f>
        <v>460005199708296221</v>
      </c>
      <c r="D6283" t="str">
        <f>"248030104722"</f>
        <v>248030104722</v>
      </c>
      <c r="L6283">
        <v>8012</v>
      </c>
      <c r="M6283" t="s">
        <v>6543</v>
      </c>
      <c r="N6283" t="str">
        <f>"248030104722"</f>
        <v>248030104722</v>
      </c>
      <c r="O6283" t="str">
        <f>"460005199708296221"</f>
        <v>460005199708296221</v>
      </c>
    </row>
    <row r="6284" customFormat="1" spans="1:15">
      <c r="A6284">
        <v>8013</v>
      </c>
      <c r="B6284" t="s">
        <v>6544</v>
      </c>
      <c r="C6284" t="str">
        <f>"460031200301160822"</f>
        <v>460031200301160822</v>
      </c>
      <c r="D6284" t="str">
        <f>"248030301922"</f>
        <v>248030301922</v>
      </c>
      <c r="L6284">
        <v>8013</v>
      </c>
      <c r="M6284" t="s">
        <v>6544</v>
      </c>
      <c r="N6284" t="str">
        <f>"248030301922"</f>
        <v>248030301922</v>
      </c>
      <c r="O6284" t="str">
        <f>"460031200301160822"</f>
        <v>460031200301160822</v>
      </c>
    </row>
    <row r="6285" customFormat="1" spans="1:15">
      <c r="A6285">
        <v>8015</v>
      </c>
      <c r="B6285" t="s">
        <v>6545</v>
      </c>
      <c r="C6285" t="str">
        <f>"460027199802222024"</f>
        <v>460027199802222024</v>
      </c>
      <c r="D6285" t="str">
        <f>"248030104006"</f>
        <v>248030104006</v>
      </c>
      <c r="L6285">
        <v>8015</v>
      </c>
      <c r="M6285" t="s">
        <v>6545</v>
      </c>
      <c r="N6285" t="str">
        <f>"248030104006"</f>
        <v>248030104006</v>
      </c>
      <c r="O6285" t="str">
        <f>"460027199802222024"</f>
        <v>460027199802222024</v>
      </c>
    </row>
    <row r="6286" customFormat="1" spans="1:15">
      <c r="A6286">
        <v>8016</v>
      </c>
      <c r="B6286" t="s">
        <v>6546</v>
      </c>
      <c r="C6286" t="str">
        <f>"460033200112156886"</f>
        <v>460033200112156886</v>
      </c>
      <c r="D6286" t="str">
        <f>"248030302621"</f>
        <v>248030302621</v>
      </c>
      <c r="L6286">
        <v>8016</v>
      </c>
      <c r="M6286" t="s">
        <v>6546</v>
      </c>
      <c r="N6286" t="str">
        <f>"248030302621"</f>
        <v>248030302621</v>
      </c>
      <c r="O6286" t="str">
        <f>"460033200112156886"</f>
        <v>460033200112156886</v>
      </c>
    </row>
    <row r="6287" customFormat="1" spans="1:15">
      <c r="A6287">
        <v>8017</v>
      </c>
      <c r="B6287" t="s">
        <v>6547</v>
      </c>
      <c r="C6287" t="str">
        <f>"460027200207064127"</f>
        <v>460027200207064127</v>
      </c>
      <c r="D6287" t="str">
        <f>"248030403010"</f>
        <v>248030403010</v>
      </c>
      <c r="L6287">
        <v>8017</v>
      </c>
      <c r="M6287" t="s">
        <v>6547</v>
      </c>
      <c r="N6287" t="str">
        <f>"248030403010"</f>
        <v>248030403010</v>
      </c>
      <c r="O6287" t="str">
        <f>"460027200207064127"</f>
        <v>460027200207064127</v>
      </c>
    </row>
    <row r="6288" customFormat="1" spans="1:15">
      <c r="A6288">
        <v>8018</v>
      </c>
      <c r="B6288" t="s">
        <v>6548</v>
      </c>
      <c r="C6288" t="str">
        <f>"142431198807036027"</f>
        <v>142431198807036027</v>
      </c>
      <c r="D6288" t="str">
        <f>"248030103028"</f>
        <v>248030103028</v>
      </c>
      <c r="L6288">
        <v>8018</v>
      </c>
      <c r="M6288" t="s">
        <v>6548</v>
      </c>
      <c r="N6288" t="str">
        <f>"248030103028"</f>
        <v>248030103028</v>
      </c>
      <c r="O6288" t="str">
        <f>"142431198807036027"</f>
        <v>142431198807036027</v>
      </c>
    </row>
    <row r="6289" customFormat="1" spans="1:15">
      <c r="A6289">
        <v>8020</v>
      </c>
      <c r="B6289" t="s">
        <v>6549</v>
      </c>
      <c r="C6289" t="str">
        <f>"460002199705252515"</f>
        <v>460002199705252515</v>
      </c>
      <c r="D6289" t="str">
        <f>"248030201326"</f>
        <v>248030201326</v>
      </c>
      <c r="L6289">
        <v>8020</v>
      </c>
      <c r="M6289" t="s">
        <v>6549</v>
      </c>
      <c r="N6289" t="str">
        <f>"248030201326"</f>
        <v>248030201326</v>
      </c>
      <c r="O6289" t="str">
        <f>"460002199705252515"</f>
        <v>460002199705252515</v>
      </c>
    </row>
    <row r="6290" customFormat="1" spans="1:15">
      <c r="A6290">
        <v>8021</v>
      </c>
      <c r="B6290" t="s">
        <v>318</v>
      </c>
      <c r="C6290" t="str">
        <f>"42122220001019123X"</f>
        <v>42122220001019123X</v>
      </c>
      <c r="D6290" t="str">
        <f>"248030201510"</f>
        <v>248030201510</v>
      </c>
      <c r="L6290">
        <v>8021</v>
      </c>
      <c r="M6290" t="s">
        <v>318</v>
      </c>
      <c r="N6290" t="str">
        <f>"248030201510"</f>
        <v>248030201510</v>
      </c>
      <c r="O6290" t="str">
        <f>"42122220001019123X"</f>
        <v>42122220001019123X</v>
      </c>
    </row>
    <row r="6291" customFormat="1" spans="1:15">
      <c r="A6291">
        <v>8022</v>
      </c>
      <c r="B6291" t="s">
        <v>6550</v>
      </c>
      <c r="C6291" t="str">
        <f>"460006199802144810"</f>
        <v>460006199802144810</v>
      </c>
      <c r="D6291" t="str">
        <f>"248030201310"</f>
        <v>248030201310</v>
      </c>
      <c r="L6291">
        <v>8022</v>
      </c>
      <c r="M6291" t="s">
        <v>6550</v>
      </c>
      <c r="N6291" t="str">
        <f>"248030201310"</f>
        <v>248030201310</v>
      </c>
      <c r="O6291" t="str">
        <f>"460006199802144810"</f>
        <v>460006199802144810</v>
      </c>
    </row>
    <row r="6292" customFormat="1" spans="1:15">
      <c r="A6292">
        <v>8024</v>
      </c>
      <c r="B6292" t="s">
        <v>6551</v>
      </c>
      <c r="C6292" t="str">
        <f>"460103199907112731"</f>
        <v>460103199907112731</v>
      </c>
      <c r="D6292" t="str">
        <f>"248030301724"</f>
        <v>248030301724</v>
      </c>
      <c r="L6292">
        <v>8024</v>
      </c>
      <c r="M6292" t="s">
        <v>6551</v>
      </c>
      <c r="N6292" t="str">
        <f>"248030301724"</f>
        <v>248030301724</v>
      </c>
      <c r="O6292" t="str">
        <f>"460103199907112731"</f>
        <v>460103199907112731</v>
      </c>
    </row>
    <row r="6293" customFormat="1" spans="1:15">
      <c r="A6293">
        <v>8027</v>
      </c>
      <c r="B6293" t="s">
        <v>6552</v>
      </c>
      <c r="C6293" t="str">
        <f>"460033200007030376"</f>
        <v>460033200007030376</v>
      </c>
      <c r="D6293" t="str">
        <f>"248030101828"</f>
        <v>248030101828</v>
      </c>
      <c r="L6293">
        <v>8027</v>
      </c>
      <c r="M6293" t="s">
        <v>6552</v>
      </c>
      <c r="N6293" t="str">
        <f>"248030101828"</f>
        <v>248030101828</v>
      </c>
      <c r="O6293" t="str">
        <f>"460033200007030376"</f>
        <v>460033200007030376</v>
      </c>
    </row>
    <row r="6294" customFormat="1" spans="1:15">
      <c r="A6294">
        <v>8030</v>
      </c>
      <c r="B6294" t="s">
        <v>6553</v>
      </c>
      <c r="C6294" t="str">
        <f>"460004199108255243"</f>
        <v>460004199108255243</v>
      </c>
      <c r="D6294" t="str">
        <f>"248030402915"</f>
        <v>248030402915</v>
      </c>
      <c r="L6294">
        <v>8030</v>
      </c>
      <c r="M6294" t="s">
        <v>6553</v>
      </c>
      <c r="N6294" t="str">
        <f>"248030402915"</f>
        <v>248030402915</v>
      </c>
      <c r="O6294" t="str">
        <f>"460004199108255243"</f>
        <v>460004199108255243</v>
      </c>
    </row>
    <row r="6295" customFormat="1" spans="1:15">
      <c r="A6295">
        <v>8031</v>
      </c>
      <c r="B6295" t="s">
        <v>6554</v>
      </c>
      <c r="C6295" t="str">
        <f>"460004200206052218"</f>
        <v>460004200206052218</v>
      </c>
      <c r="D6295" t="str">
        <f>"248030302129"</f>
        <v>248030302129</v>
      </c>
      <c r="L6295">
        <v>8031</v>
      </c>
      <c r="M6295" t="s">
        <v>6554</v>
      </c>
      <c r="N6295" t="str">
        <f>"248030302129"</f>
        <v>248030302129</v>
      </c>
      <c r="O6295" t="str">
        <f>"460004200206052218"</f>
        <v>460004200206052218</v>
      </c>
    </row>
    <row r="6296" customFormat="1" spans="1:15">
      <c r="A6296">
        <v>8032</v>
      </c>
      <c r="B6296" t="s">
        <v>6555</v>
      </c>
      <c r="C6296" t="str">
        <f>"440902199912262420"</f>
        <v>440902199912262420</v>
      </c>
      <c r="L6296">
        <v>8032</v>
      </c>
      <c r="M6296" t="s">
        <v>6555</v>
      </c>
      <c r="O6296" t="str">
        <f>"440902199912262420"</f>
        <v>440902199912262420</v>
      </c>
    </row>
    <row r="6297" customFormat="1" spans="1:15">
      <c r="A6297">
        <v>8033</v>
      </c>
      <c r="B6297" t="s">
        <v>6556</v>
      </c>
      <c r="C6297" t="str">
        <f>"460003199605054649"</f>
        <v>460003199605054649</v>
      </c>
      <c r="D6297" t="str">
        <f>"248030302311"</f>
        <v>248030302311</v>
      </c>
      <c r="L6297">
        <v>8033</v>
      </c>
      <c r="M6297" t="s">
        <v>6556</v>
      </c>
      <c r="N6297" t="str">
        <f>"248030302311"</f>
        <v>248030302311</v>
      </c>
      <c r="O6297" t="str">
        <f>"460003199605054649"</f>
        <v>460003199605054649</v>
      </c>
    </row>
    <row r="6298" customFormat="1" spans="1:15">
      <c r="A6298">
        <v>8035</v>
      </c>
      <c r="B6298" t="s">
        <v>6557</v>
      </c>
      <c r="C6298" t="str">
        <f>"460003199403082641"</f>
        <v>460003199403082641</v>
      </c>
      <c r="L6298">
        <v>8035</v>
      </c>
      <c r="M6298" t="s">
        <v>6557</v>
      </c>
      <c r="O6298" t="str">
        <f>"460003199403082641"</f>
        <v>460003199403082641</v>
      </c>
    </row>
    <row r="6299" customFormat="1" spans="1:15">
      <c r="A6299">
        <v>8036</v>
      </c>
      <c r="B6299" t="s">
        <v>5816</v>
      </c>
      <c r="C6299" t="str">
        <f>"460027199801232028"</f>
        <v>460027199801232028</v>
      </c>
      <c r="L6299">
        <v>8036</v>
      </c>
      <c r="M6299" t="s">
        <v>5816</v>
      </c>
      <c r="O6299" t="str">
        <f>"460027199801232028"</f>
        <v>460027199801232028</v>
      </c>
    </row>
    <row r="6300" customFormat="1" spans="1:15">
      <c r="A6300">
        <v>8037</v>
      </c>
      <c r="B6300" t="s">
        <v>6558</v>
      </c>
      <c r="C6300" t="str">
        <f>"445224200007081865"</f>
        <v>445224200007081865</v>
      </c>
      <c r="D6300" t="str">
        <f>"248030203625"</f>
        <v>248030203625</v>
      </c>
      <c r="L6300">
        <v>8037</v>
      </c>
      <c r="M6300" t="s">
        <v>6558</v>
      </c>
      <c r="N6300" t="str">
        <f>"248030203625"</f>
        <v>248030203625</v>
      </c>
      <c r="O6300" t="str">
        <f>"445224200007081865"</f>
        <v>445224200007081865</v>
      </c>
    </row>
    <row r="6301" customFormat="1" spans="1:15">
      <c r="A6301">
        <v>8038</v>
      </c>
      <c r="B6301" t="s">
        <v>6559</v>
      </c>
      <c r="C6301" t="str">
        <f>"450521199705106125"</f>
        <v>450521199705106125</v>
      </c>
      <c r="L6301">
        <v>8038</v>
      </c>
      <c r="M6301" t="s">
        <v>6559</v>
      </c>
      <c r="O6301" t="str">
        <f>"450521199705106125"</f>
        <v>450521199705106125</v>
      </c>
    </row>
    <row r="6302" customFormat="1" spans="1:15">
      <c r="A6302">
        <v>8039</v>
      </c>
      <c r="B6302" t="s">
        <v>4778</v>
      </c>
      <c r="C6302" t="str">
        <f>"460002199804063840"</f>
        <v>460002199804063840</v>
      </c>
      <c r="D6302" t="str">
        <f>"248030300123"</f>
        <v>248030300123</v>
      </c>
      <c r="L6302">
        <v>8039</v>
      </c>
      <c r="M6302" t="s">
        <v>4778</v>
      </c>
      <c r="N6302" t="str">
        <f>"248030300123"</f>
        <v>248030300123</v>
      </c>
      <c r="O6302" t="str">
        <f>"460002199804063840"</f>
        <v>460002199804063840</v>
      </c>
    </row>
    <row r="6303" customFormat="1" spans="1:15">
      <c r="A6303">
        <v>8041</v>
      </c>
      <c r="B6303" t="s">
        <v>6560</v>
      </c>
      <c r="C6303" t="str">
        <f>"460033199907113569"</f>
        <v>460033199907113569</v>
      </c>
      <c r="L6303">
        <v>8041</v>
      </c>
      <c r="M6303" t="s">
        <v>6560</v>
      </c>
      <c r="O6303" t="str">
        <f>"460033199907113569"</f>
        <v>460033199907113569</v>
      </c>
    </row>
    <row r="6304" customFormat="1" spans="1:15">
      <c r="A6304">
        <v>8042</v>
      </c>
      <c r="B6304" t="s">
        <v>6561</v>
      </c>
      <c r="C6304" t="str">
        <f>"469003199803159116"</f>
        <v>469003199803159116</v>
      </c>
      <c r="D6304" t="str">
        <f>"248030301329"</f>
        <v>248030301329</v>
      </c>
      <c r="L6304">
        <v>8042</v>
      </c>
      <c r="M6304" t="s">
        <v>6561</v>
      </c>
      <c r="N6304" t="str">
        <f>"248030301329"</f>
        <v>248030301329</v>
      </c>
      <c r="O6304" t="str">
        <f>"469003199803159116"</f>
        <v>469003199803159116</v>
      </c>
    </row>
    <row r="6305" customFormat="1" spans="1:15">
      <c r="A6305">
        <v>8043</v>
      </c>
      <c r="B6305" t="s">
        <v>6562</v>
      </c>
      <c r="C6305" t="str">
        <f>"460003199203137222"</f>
        <v>460003199203137222</v>
      </c>
      <c r="D6305" t="str">
        <f>"248030503508"</f>
        <v>248030503508</v>
      </c>
      <c r="L6305">
        <v>8043</v>
      </c>
      <c r="M6305" t="s">
        <v>6562</v>
      </c>
      <c r="N6305" t="str">
        <f>"248030503508"</f>
        <v>248030503508</v>
      </c>
      <c r="O6305" t="str">
        <f>"460003199203137222"</f>
        <v>460003199203137222</v>
      </c>
    </row>
    <row r="6306" customFormat="1" spans="1:15">
      <c r="A6306">
        <v>8044</v>
      </c>
      <c r="B6306" t="s">
        <v>6563</v>
      </c>
      <c r="C6306" t="str">
        <f>"450981199402075438"</f>
        <v>450981199402075438</v>
      </c>
      <c r="D6306" t="str">
        <f>"248030300816"</f>
        <v>248030300816</v>
      </c>
      <c r="L6306">
        <v>8044</v>
      </c>
      <c r="M6306" t="s">
        <v>6563</v>
      </c>
      <c r="N6306" t="str">
        <f>"248030300816"</f>
        <v>248030300816</v>
      </c>
      <c r="O6306" t="str">
        <f>"450981199402075438"</f>
        <v>450981199402075438</v>
      </c>
    </row>
    <row r="6307" customFormat="1" spans="1:15">
      <c r="A6307">
        <v>8045</v>
      </c>
      <c r="B6307" t="s">
        <v>212</v>
      </c>
      <c r="C6307" t="str">
        <f>"460031199712030824"</f>
        <v>460031199712030824</v>
      </c>
      <c r="D6307" t="str">
        <f>"248030101514"</f>
        <v>248030101514</v>
      </c>
      <c r="L6307">
        <v>8045</v>
      </c>
      <c r="M6307" t="s">
        <v>212</v>
      </c>
      <c r="N6307" t="str">
        <f>"248030101514"</f>
        <v>248030101514</v>
      </c>
      <c r="O6307" t="str">
        <f>"460031199712030824"</f>
        <v>460031199712030824</v>
      </c>
    </row>
    <row r="6308" customFormat="1" spans="1:15">
      <c r="A6308">
        <v>8046</v>
      </c>
      <c r="B6308" t="s">
        <v>127</v>
      </c>
      <c r="C6308" t="str">
        <f>"360403199811180345"</f>
        <v>360403199811180345</v>
      </c>
      <c r="D6308" t="str">
        <f>"248030102201"</f>
        <v>248030102201</v>
      </c>
      <c r="L6308">
        <v>8046</v>
      </c>
      <c r="M6308" t="s">
        <v>127</v>
      </c>
      <c r="N6308" t="str">
        <f>"248030102201"</f>
        <v>248030102201</v>
      </c>
      <c r="O6308" t="str">
        <f>"360403199811180345"</f>
        <v>360403199811180345</v>
      </c>
    </row>
    <row r="6309" customFormat="1" spans="1:15">
      <c r="A6309">
        <v>8047</v>
      </c>
      <c r="B6309" t="s">
        <v>6564</v>
      </c>
      <c r="C6309" t="str">
        <f>"46000419990118142X"</f>
        <v>46000419990118142X</v>
      </c>
      <c r="D6309" t="str">
        <f>"248030200801"</f>
        <v>248030200801</v>
      </c>
      <c r="L6309">
        <v>8047</v>
      </c>
      <c r="M6309" t="s">
        <v>6564</v>
      </c>
      <c r="N6309" t="str">
        <f>"248030200801"</f>
        <v>248030200801</v>
      </c>
      <c r="O6309" t="str">
        <f>"46000419990118142X"</f>
        <v>46000419990118142X</v>
      </c>
    </row>
    <row r="6310" customFormat="1" spans="1:15">
      <c r="A6310">
        <v>8049</v>
      </c>
      <c r="B6310" t="s">
        <v>6565</v>
      </c>
      <c r="C6310" t="str">
        <f>"460007199905060026"</f>
        <v>460007199905060026</v>
      </c>
      <c r="D6310" t="str">
        <f>"248030403115"</f>
        <v>248030403115</v>
      </c>
      <c r="L6310">
        <v>8049</v>
      </c>
      <c r="M6310" t="s">
        <v>6565</v>
      </c>
      <c r="N6310" t="str">
        <f>"248030403115"</f>
        <v>248030403115</v>
      </c>
      <c r="O6310" t="str">
        <f>"460007199905060026"</f>
        <v>460007199905060026</v>
      </c>
    </row>
    <row r="6311" customFormat="1" spans="1:15">
      <c r="A6311">
        <v>8053</v>
      </c>
      <c r="B6311" t="s">
        <v>6566</v>
      </c>
      <c r="C6311" t="str">
        <f>"460033200104224703"</f>
        <v>460033200104224703</v>
      </c>
      <c r="L6311">
        <v>8053</v>
      </c>
      <c r="M6311" t="s">
        <v>6566</v>
      </c>
      <c r="O6311" t="str">
        <f>"460033200104224703"</f>
        <v>460033200104224703</v>
      </c>
    </row>
    <row r="6312" customFormat="1" spans="1:15">
      <c r="A6312">
        <v>8054</v>
      </c>
      <c r="B6312" t="s">
        <v>5325</v>
      </c>
      <c r="C6312" t="str">
        <f>"460004199805222025"</f>
        <v>460004199805222025</v>
      </c>
      <c r="D6312" t="str">
        <f>"248030104618"</f>
        <v>248030104618</v>
      </c>
      <c r="L6312">
        <v>8054</v>
      </c>
      <c r="M6312" t="s">
        <v>5325</v>
      </c>
      <c r="N6312" t="str">
        <f>"248030104618"</f>
        <v>248030104618</v>
      </c>
      <c r="O6312" t="str">
        <f>"460004199805222025"</f>
        <v>460004199805222025</v>
      </c>
    </row>
    <row r="6313" customFormat="1" spans="1:15">
      <c r="A6313">
        <v>8057</v>
      </c>
      <c r="B6313" t="s">
        <v>6567</v>
      </c>
      <c r="C6313" t="str">
        <f>"460006198506061629"</f>
        <v>460006198506061629</v>
      </c>
      <c r="D6313" t="str">
        <f>"248030501320"</f>
        <v>248030501320</v>
      </c>
      <c r="L6313">
        <v>8057</v>
      </c>
      <c r="M6313" t="s">
        <v>6567</v>
      </c>
      <c r="N6313" t="str">
        <f>"248030501320"</f>
        <v>248030501320</v>
      </c>
      <c r="O6313" t="str">
        <f>"460006198506061629"</f>
        <v>460006198506061629</v>
      </c>
    </row>
    <row r="6314" customFormat="1" spans="1:15">
      <c r="A6314">
        <v>8058</v>
      </c>
      <c r="B6314" t="s">
        <v>6568</v>
      </c>
      <c r="C6314" t="str">
        <f>"460006199811074623"</f>
        <v>460006199811074623</v>
      </c>
      <c r="D6314" t="str">
        <f>"248030500201"</f>
        <v>248030500201</v>
      </c>
      <c r="L6314">
        <v>8058</v>
      </c>
      <c r="M6314" t="s">
        <v>6568</v>
      </c>
      <c r="N6314" t="str">
        <f>"248030500201"</f>
        <v>248030500201</v>
      </c>
      <c r="O6314" t="str">
        <f>"460006199811074623"</f>
        <v>460006199811074623</v>
      </c>
    </row>
    <row r="6315" customFormat="1" spans="1:15">
      <c r="A6315">
        <v>8059</v>
      </c>
      <c r="B6315" t="s">
        <v>123</v>
      </c>
      <c r="C6315" t="str">
        <f>"130635198804190435"</f>
        <v>130635198804190435</v>
      </c>
      <c r="D6315" t="str">
        <f>"248030102009"</f>
        <v>248030102009</v>
      </c>
      <c r="L6315">
        <v>8059</v>
      </c>
      <c r="M6315" t="s">
        <v>123</v>
      </c>
      <c r="N6315" t="str">
        <f>"248030102009"</f>
        <v>248030102009</v>
      </c>
      <c r="O6315" t="str">
        <f>"130635198804190435"</f>
        <v>130635198804190435</v>
      </c>
    </row>
    <row r="6316" customFormat="1" spans="1:15">
      <c r="A6316">
        <v>8060</v>
      </c>
      <c r="B6316" t="s">
        <v>6569</v>
      </c>
      <c r="C6316" t="str">
        <f>"460006200106223721"</f>
        <v>460006200106223721</v>
      </c>
      <c r="D6316" t="str">
        <f>"248030501101"</f>
        <v>248030501101</v>
      </c>
      <c r="L6316">
        <v>8060</v>
      </c>
      <c r="M6316" t="s">
        <v>6569</v>
      </c>
      <c r="N6316" t="str">
        <f>"248030501101"</f>
        <v>248030501101</v>
      </c>
      <c r="O6316" t="str">
        <f>"460006200106223721"</f>
        <v>460006200106223721</v>
      </c>
    </row>
    <row r="6317" customFormat="1" spans="1:15">
      <c r="A6317">
        <v>8061</v>
      </c>
      <c r="B6317" t="s">
        <v>6570</v>
      </c>
      <c r="C6317" t="str">
        <f>"460028200001051220"</f>
        <v>460028200001051220</v>
      </c>
      <c r="D6317" t="str">
        <f>"248030501303"</f>
        <v>248030501303</v>
      </c>
      <c r="L6317">
        <v>8061</v>
      </c>
      <c r="M6317" t="s">
        <v>6570</v>
      </c>
      <c r="N6317" t="str">
        <f>"248030501303"</f>
        <v>248030501303</v>
      </c>
      <c r="O6317" t="str">
        <f>"460028200001051220"</f>
        <v>460028200001051220</v>
      </c>
    </row>
    <row r="6318" customFormat="1" spans="1:15">
      <c r="A6318">
        <v>8066</v>
      </c>
      <c r="B6318" t="s">
        <v>6571</v>
      </c>
      <c r="C6318" t="str">
        <f>"460006200106240644"</f>
        <v>460006200106240644</v>
      </c>
      <c r="D6318" t="str">
        <f>"248030402430"</f>
        <v>248030402430</v>
      </c>
      <c r="L6318">
        <v>8066</v>
      </c>
      <c r="M6318" t="s">
        <v>6571</v>
      </c>
      <c r="N6318" t="str">
        <f>"248030402430"</f>
        <v>248030402430</v>
      </c>
      <c r="O6318" t="str">
        <f>"460006200106240644"</f>
        <v>460006200106240644</v>
      </c>
    </row>
    <row r="6319" customFormat="1" spans="1:15">
      <c r="A6319">
        <v>8067</v>
      </c>
      <c r="B6319" t="s">
        <v>6572</v>
      </c>
      <c r="C6319" t="str">
        <f>"460006200306164025"</f>
        <v>460006200306164025</v>
      </c>
      <c r="D6319" t="str">
        <f>"248030200519"</f>
        <v>248030200519</v>
      </c>
      <c r="L6319">
        <v>8067</v>
      </c>
      <c r="M6319" t="s">
        <v>6572</v>
      </c>
      <c r="N6319" t="str">
        <f>"248030200519"</f>
        <v>248030200519</v>
      </c>
      <c r="O6319" t="str">
        <f>"460006200306164025"</f>
        <v>460006200306164025</v>
      </c>
    </row>
    <row r="6320" customFormat="1" spans="1:15">
      <c r="A6320">
        <v>8069</v>
      </c>
      <c r="B6320" t="s">
        <v>6573</v>
      </c>
      <c r="C6320" t="str">
        <f>"460035199306132329"</f>
        <v>460035199306132329</v>
      </c>
      <c r="D6320" t="str">
        <f>"248030103309"</f>
        <v>248030103309</v>
      </c>
      <c r="L6320">
        <v>8069</v>
      </c>
      <c r="M6320" t="s">
        <v>6573</v>
      </c>
      <c r="N6320" t="str">
        <f>"248030103309"</f>
        <v>248030103309</v>
      </c>
      <c r="O6320" t="str">
        <f>"460035199306132329"</f>
        <v>460035199306132329</v>
      </c>
    </row>
    <row r="6321" customFormat="1" spans="1:15">
      <c r="A6321">
        <v>8070</v>
      </c>
      <c r="B6321" t="s">
        <v>6574</v>
      </c>
      <c r="C6321" t="str">
        <f>"460004199807270426"</f>
        <v>460004199807270426</v>
      </c>
      <c r="D6321" t="str">
        <f>"248030101111"</f>
        <v>248030101111</v>
      </c>
      <c r="L6321">
        <v>8070</v>
      </c>
      <c r="M6321" t="s">
        <v>6574</v>
      </c>
      <c r="N6321" t="str">
        <f>"248030101111"</f>
        <v>248030101111</v>
      </c>
      <c r="O6321" t="str">
        <f>"460004199807270426"</f>
        <v>460004199807270426</v>
      </c>
    </row>
    <row r="6322" customFormat="1" spans="1:15">
      <c r="A6322">
        <v>8071</v>
      </c>
      <c r="B6322" t="s">
        <v>6575</v>
      </c>
      <c r="C6322" t="str">
        <f>"460003199203147682"</f>
        <v>460003199203147682</v>
      </c>
      <c r="D6322" t="str">
        <f>"248030102302"</f>
        <v>248030102302</v>
      </c>
      <c r="L6322">
        <v>8071</v>
      </c>
      <c r="M6322" t="s">
        <v>6575</v>
      </c>
      <c r="N6322" t="str">
        <f>"248030102302"</f>
        <v>248030102302</v>
      </c>
      <c r="O6322" t="str">
        <f>"460003199203147682"</f>
        <v>460003199203147682</v>
      </c>
    </row>
    <row r="6323" customFormat="1" spans="1:15">
      <c r="A6323">
        <v>8072</v>
      </c>
      <c r="B6323" t="s">
        <v>6576</v>
      </c>
      <c r="C6323" t="str">
        <f>"460003199810265824"</f>
        <v>460003199810265824</v>
      </c>
      <c r="D6323" t="str">
        <f>"248030203909"</f>
        <v>248030203909</v>
      </c>
      <c r="L6323">
        <v>8072</v>
      </c>
      <c r="M6323" t="s">
        <v>6576</v>
      </c>
      <c r="N6323" t="str">
        <f>"248030203909"</f>
        <v>248030203909</v>
      </c>
      <c r="O6323" t="str">
        <f>"460003199810265824"</f>
        <v>460003199810265824</v>
      </c>
    </row>
    <row r="6324" customFormat="1" spans="1:15">
      <c r="A6324">
        <v>8073</v>
      </c>
      <c r="B6324" t="s">
        <v>6577</v>
      </c>
      <c r="C6324" t="str">
        <f>"460103200108073321"</f>
        <v>460103200108073321</v>
      </c>
      <c r="D6324" t="str">
        <f>"248030200513"</f>
        <v>248030200513</v>
      </c>
      <c r="L6324">
        <v>8073</v>
      </c>
      <c r="M6324" t="s">
        <v>6577</v>
      </c>
      <c r="N6324" t="str">
        <f>"248030200513"</f>
        <v>248030200513</v>
      </c>
      <c r="O6324" t="str">
        <f>"460103200108073321"</f>
        <v>460103200108073321</v>
      </c>
    </row>
    <row r="6325" customFormat="1" spans="1:15">
      <c r="A6325">
        <v>8074</v>
      </c>
      <c r="B6325" t="s">
        <v>6578</v>
      </c>
      <c r="C6325" t="str">
        <f>"622425199506101245"</f>
        <v>622425199506101245</v>
      </c>
      <c r="L6325">
        <v>8074</v>
      </c>
      <c r="M6325" t="s">
        <v>6578</v>
      </c>
      <c r="O6325" t="str">
        <f>"622425199506101245"</f>
        <v>622425199506101245</v>
      </c>
    </row>
    <row r="6326" customFormat="1" spans="1:15">
      <c r="A6326">
        <v>8075</v>
      </c>
      <c r="B6326" t="s">
        <v>6579</v>
      </c>
      <c r="C6326" t="str">
        <f>"150222199704013567"</f>
        <v>150222199704013567</v>
      </c>
      <c r="D6326" t="str">
        <f>"248030403910"</f>
        <v>248030403910</v>
      </c>
      <c r="L6326">
        <v>8075</v>
      </c>
      <c r="M6326" t="s">
        <v>6579</v>
      </c>
      <c r="N6326" t="str">
        <f>"248030403910"</f>
        <v>248030403910</v>
      </c>
      <c r="O6326" t="str">
        <f>"150222199704013567"</f>
        <v>150222199704013567</v>
      </c>
    </row>
    <row r="6327" customFormat="1" spans="1:15">
      <c r="A6327">
        <v>8076</v>
      </c>
      <c r="B6327" t="s">
        <v>6580</v>
      </c>
      <c r="C6327" t="str">
        <f>"460031200203215228"</f>
        <v>460031200203215228</v>
      </c>
      <c r="D6327" t="str">
        <f>"248030500829"</f>
        <v>248030500829</v>
      </c>
      <c r="L6327">
        <v>8076</v>
      </c>
      <c r="M6327" t="s">
        <v>6580</v>
      </c>
      <c r="N6327" t="str">
        <f>"248030500829"</f>
        <v>248030500829</v>
      </c>
      <c r="O6327" t="str">
        <f>"460031200203215228"</f>
        <v>460031200203215228</v>
      </c>
    </row>
    <row r="6328" customFormat="1" spans="1:15">
      <c r="A6328">
        <v>8078</v>
      </c>
      <c r="B6328" t="s">
        <v>6581</v>
      </c>
      <c r="C6328" t="str">
        <f>"46000319940109282X"</f>
        <v>46000319940109282X</v>
      </c>
      <c r="D6328" t="str">
        <f>"248030200714"</f>
        <v>248030200714</v>
      </c>
      <c r="L6328">
        <v>8078</v>
      </c>
      <c r="M6328" t="s">
        <v>6581</v>
      </c>
      <c r="N6328" t="str">
        <f>"248030200714"</f>
        <v>248030200714</v>
      </c>
      <c r="O6328" t="str">
        <f>"46000319940109282X"</f>
        <v>46000319940109282X</v>
      </c>
    </row>
    <row r="6329" customFormat="1" spans="1:15">
      <c r="A6329">
        <v>8079</v>
      </c>
      <c r="B6329" t="s">
        <v>6582</v>
      </c>
      <c r="C6329" t="str">
        <f>"460003200207152820"</f>
        <v>460003200207152820</v>
      </c>
      <c r="D6329" t="str">
        <f>"248030504306"</f>
        <v>248030504306</v>
      </c>
      <c r="L6329">
        <v>8079</v>
      </c>
      <c r="M6329" t="s">
        <v>6582</v>
      </c>
      <c r="N6329" t="str">
        <f>"248030504306"</f>
        <v>248030504306</v>
      </c>
      <c r="O6329" t="str">
        <f>"460003200207152820"</f>
        <v>460003200207152820</v>
      </c>
    </row>
    <row r="6330" customFormat="1" spans="1:15">
      <c r="A6330">
        <v>8080</v>
      </c>
      <c r="B6330" t="s">
        <v>677</v>
      </c>
      <c r="C6330" t="str">
        <f>"412822199705190029"</f>
        <v>412822199705190029</v>
      </c>
      <c r="D6330" t="str">
        <f>"248030102628"</f>
        <v>248030102628</v>
      </c>
      <c r="L6330">
        <v>8080</v>
      </c>
      <c r="M6330" t="s">
        <v>677</v>
      </c>
      <c r="N6330" t="str">
        <f>"248030102628"</f>
        <v>248030102628</v>
      </c>
      <c r="O6330" t="str">
        <f>"412822199705190029"</f>
        <v>412822199705190029</v>
      </c>
    </row>
    <row r="6331" customFormat="1" spans="1:15">
      <c r="A6331">
        <v>8084</v>
      </c>
      <c r="B6331" t="s">
        <v>6583</v>
      </c>
      <c r="C6331" t="str">
        <f>"460003199907114221"</f>
        <v>460003199907114221</v>
      </c>
      <c r="D6331" t="str">
        <f>"248030403528"</f>
        <v>248030403528</v>
      </c>
      <c r="L6331">
        <v>8084</v>
      </c>
      <c r="M6331" t="s">
        <v>6583</v>
      </c>
      <c r="N6331" t="str">
        <f>"248030403528"</f>
        <v>248030403528</v>
      </c>
      <c r="O6331" t="str">
        <f>"460003199907114221"</f>
        <v>460003199907114221</v>
      </c>
    </row>
    <row r="6332" customFormat="1" spans="1:15">
      <c r="A6332">
        <v>8086</v>
      </c>
      <c r="B6332" t="s">
        <v>171</v>
      </c>
      <c r="C6332" t="str">
        <f>"510322199012036541"</f>
        <v>510322199012036541</v>
      </c>
      <c r="D6332" t="str">
        <f>"248030102401"</f>
        <v>248030102401</v>
      </c>
      <c r="L6332">
        <v>8086</v>
      </c>
      <c r="M6332" t="s">
        <v>171</v>
      </c>
      <c r="N6332" t="str">
        <f>"248030102401"</f>
        <v>248030102401</v>
      </c>
      <c r="O6332" t="str">
        <f>"510322199012036541"</f>
        <v>510322199012036541</v>
      </c>
    </row>
    <row r="6333" customFormat="1" spans="1:15">
      <c r="A6333">
        <v>8088</v>
      </c>
      <c r="B6333" t="s">
        <v>6584</v>
      </c>
      <c r="C6333" t="str">
        <f>"460003199109092240"</f>
        <v>460003199109092240</v>
      </c>
      <c r="D6333" t="str">
        <f>"248030301809"</f>
        <v>248030301809</v>
      </c>
      <c r="L6333">
        <v>8088</v>
      </c>
      <c r="M6333" t="s">
        <v>6584</v>
      </c>
      <c r="N6333" t="str">
        <f>"248030301809"</f>
        <v>248030301809</v>
      </c>
      <c r="O6333" t="str">
        <f>"460003199109092240"</f>
        <v>460003199109092240</v>
      </c>
    </row>
    <row r="6334" customFormat="1" spans="1:15">
      <c r="A6334">
        <v>8089</v>
      </c>
      <c r="B6334" t="s">
        <v>6585</v>
      </c>
      <c r="C6334" t="str">
        <f>"460003199407013248"</f>
        <v>460003199407013248</v>
      </c>
      <c r="D6334" t="str">
        <f>"248030503208"</f>
        <v>248030503208</v>
      </c>
      <c r="L6334">
        <v>8089</v>
      </c>
      <c r="M6334" t="s">
        <v>6585</v>
      </c>
      <c r="N6334" t="str">
        <f>"248030503208"</f>
        <v>248030503208</v>
      </c>
      <c r="O6334" t="str">
        <f>"460003199407013248"</f>
        <v>460003199407013248</v>
      </c>
    </row>
    <row r="6335" customFormat="1" spans="1:15">
      <c r="A6335">
        <v>8090</v>
      </c>
      <c r="B6335" t="s">
        <v>6586</v>
      </c>
      <c r="C6335" t="str">
        <f>"460004200109274425"</f>
        <v>460004200109274425</v>
      </c>
      <c r="D6335" t="str">
        <f>"248030301028"</f>
        <v>248030301028</v>
      </c>
      <c r="L6335">
        <v>8090</v>
      </c>
      <c r="M6335" t="s">
        <v>6586</v>
      </c>
      <c r="N6335" t="str">
        <f>"248030301028"</f>
        <v>248030301028</v>
      </c>
      <c r="O6335" t="str">
        <f>"460004200109274425"</f>
        <v>460004200109274425</v>
      </c>
    </row>
    <row r="6336" customFormat="1" spans="1:15">
      <c r="A6336">
        <v>8091</v>
      </c>
      <c r="B6336" t="s">
        <v>6587</v>
      </c>
      <c r="C6336" t="str">
        <f>"460003199608283025"</f>
        <v>460003199608283025</v>
      </c>
      <c r="D6336" t="str">
        <f>"248030103622"</f>
        <v>248030103622</v>
      </c>
      <c r="L6336">
        <v>8091</v>
      </c>
      <c r="M6336" t="s">
        <v>6587</v>
      </c>
      <c r="N6336" t="str">
        <f>"248030103622"</f>
        <v>248030103622</v>
      </c>
      <c r="O6336" t="str">
        <f>"460003199608283025"</f>
        <v>460003199608283025</v>
      </c>
    </row>
    <row r="6337" customFormat="1" spans="1:15">
      <c r="A6337">
        <v>8092</v>
      </c>
      <c r="B6337" t="s">
        <v>6588</v>
      </c>
      <c r="C6337" t="str">
        <f>"460007199508117287"</f>
        <v>460007199508117287</v>
      </c>
      <c r="D6337" t="str">
        <f>"248030402625"</f>
        <v>248030402625</v>
      </c>
      <c r="L6337">
        <v>8092</v>
      </c>
      <c r="M6337" t="s">
        <v>6588</v>
      </c>
      <c r="N6337" t="str">
        <f>"248030402625"</f>
        <v>248030402625</v>
      </c>
      <c r="O6337" t="str">
        <f>"460007199508117287"</f>
        <v>460007199508117287</v>
      </c>
    </row>
    <row r="6338" customFormat="1" spans="1:15">
      <c r="A6338">
        <v>8093</v>
      </c>
      <c r="B6338" t="s">
        <v>6589</v>
      </c>
      <c r="C6338" t="str">
        <f>"460026200201211812"</f>
        <v>460026200201211812</v>
      </c>
      <c r="D6338" t="str">
        <f>"248030103615"</f>
        <v>248030103615</v>
      </c>
      <c r="L6338">
        <v>8093</v>
      </c>
      <c r="M6338" t="s">
        <v>6589</v>
      </c>
      <c r="N6338" t="str">
        <f>"248030103615"</f>
        <v>248030103615</v>
      </c>
      <c r="O6338" t="str">
        <f>"460026200201211812"</f>
        <v>460026200201211812</v>
      </c>
    </row>
    <row r="6339" customFormat="1" spans="1:15">
      <c r="A6339">
        <v>8098</v>
      </c>
      <c r="B6339" t="s">
        <v>6590</v>
      </c>
      <c r="C6339" t="str">
        <f>"460002199808126028"</f>
        <v>460002199808126028</v>
      </c>
      <c r="D6339" t="str">
        <f>"248030102203"</f>
        <v>248030102203</v>
      </c>
      <c r="L6339">
        <v>8098</v>
      </c>
      <c r="M6339" t="s">
        <v>6590</v>
      </c>
      <c r="N6339" t="str">
        <f>"248030102203"</f>
        <v>248030102203</v>
      </c>
      <c r="O6339" t="str">
        <f>"460002199808126028"</f>
        <v>460002199808126028</v>
      </c>
    </row>
    <row r="6340" customFormat="1" spans="1:15">
      <c r="A6340">
        <v>8099</v>
      </c>
      <c r="B6340" t="s">
        <v>6591</v>
      </c>
      <c r="C6340" t="str">
        <f>"460006199808141645"</f>
        <v>460006199808141645</v>
      </c>
      <c r="D6340" t="str">
        <f>"248030100508"</f>
        <v>248030100508</v>
      </c>
      <c r="L6340">
        <v>8099</v>
      </c>
      <c r="M6340" t="s">
        <v>6591</v>
      </c>
      <c r="N6340" t="str">
        <f>"248030100508"</f>
        <v>248030100508</v>
      </c>
      <c r="O6340" t="str">
        <f>"460006199808141645"</f>
        <v>460006199808141645</v>
      </c>
    </row>
    <row r="6341" customFormat="1" spans="1:15">
      <c r="A6341">
        <v>8102</v>
      </c>
      <c r="B6341" t="s">
        <v>6592</v>
      </c>
      <c r="C6341" t="str">
        <f>"460027200010312916"</f>
        <v>460027200010312916</v>
      </c>
      <c r="D6341" t="str">
        <f>"248030201801"</f>
        <v>248030201801</v>
      </c>
      <c r="L6341">
        <v>8102</v>
      </c>
      <c r="M6341" t="s">
        <v>6592</v>
      </c>
      <c r="N6341" t="str">
        <f>"248030201801"</f>
        <v>248030201801</v>
      </c>
      <c r="O6341" t="str">
        <f>"460027200010312916"</f>
        <v>460027200010312916</v>
      </c>
    </row>
    <row r="6342" customFormat="1" spans="1:15">
      <c r="A6342">
        <v>8104</v>
      </c>
      <c r="B6342" t="s">
        <v>6593</v>
      </c>
      <c r="C6342" t="str">
        <f>"650102199003193523"</f>
        <v>650102199003193523</v>
      </c>
      <c r="D6342" t="str">
        <f>"248030202702"</f>
        <v>248030202702</v>
      </c>
      <c r="L6342">
        <v>8104</v>
      </c>
      <c r="M6342" t="s">
        <v>6593</v>
      </c>
      <c r="N6342" t="str">
        <f>"248030202702"</f>
        <v>248030202702</v>
      </c>
      <c r="O6342" t="str">
        <f>"650102199003193523"</f>
        <v>650102199003193523</v>
      </c>
    </row>
    <row r="6343" customFormat="1" spans="1:15">
      <c r="A6343">
        <v>8106</v>
      </c>
      <c r="B6343" t="s">
        <v>6594</v>
      </c>
      <c r="C6343" t="str">
        <f>"46010320010215362X"</f>
        <v>46010320010215362X</v>
      </c>
      <c r="L6343">
        <v>8106</v>
      </c>
      <c r="M6343" t="s">
        <v>6594</v>
      </c>
      <c r="O6343" t="str">
        <f>"46010320010215362X"</f>
        <v>46010320010215362X</v>
      </c>
    </row>
    <row r="6344" customFormat="1" spans="1:15">
      <c r="A6344">
        <v>8108</v>
      </c>
      <c r="B6344" t="s">
        <v>6595</v>
      </c>
      <c r="C6344" t="str">
        <f>"460003199801220835"</f>
        <v>460003199801220835</v>
      </c>
      <c r="D6344" t="str">
        <f>"248030202321"</f>
        <v>248030202321</v>
      </c>
      <c r="L6344">
        <v>8108</v>
      </c>
      <c r="M6344" t="s">
        <v>6595</v>
      </c>
      <c r="N6344" t="str">
        <f>"248030202321"</f>
        <v>248030202321</v>
      </c>
      <c r="O6344" t="str">
        <f>"460003199801220835"</f>
        <v>460003199801220835</v>
      </c>
    </row>
    <row r="6345" customFormat="1" spans="1:15">
      <c r="A6345">
        <v>8110</v>
      </c>
      <c r="B6345" t="s">
        <v>6596</v>
      </c>
      <c r="C6345" t="str">
        <f>"460003199703086783"</f>
        <v>460003199703086783</v>
      </c>
      <c r="D6345" t="str">
        <f>"248030402106"</f>
        <v>248030402106</v>
      </c>
      <c r="L6345">
        <v>8110</v>
      </c>
      <c r="M6345" t="s">
        <v>6596</v>
      </c>
      <c r="N6345" t="str">
        <f>"248030402106"</f>
        <v>248030402106</v>
      </c>
      <c r="O6345" t="str">
        <f>"460003199703086783"</f>
        <v>460003199703086783</v>
      </c>
    </row>
    <row r="6346" customFormat="1" spans="1:15">
      <c r="A6346">
        <v>8112</v>
      </c>
      <c r="B6346" t="s">
        <v>6597</v>
      </c>
      <c r="C6346" t="str">
        <f>"46000620000720164X"</f>
        <v>46000620000720164X</v>
      </c>
      <c r="D6346" t="str">
        <f>"248030502823"</f>
        <v>248030502823</v>
      </c>
      <c r="L6346">
        <v>8112</v>
      </c>
      <c r="M6346" t="s">
        <v>6597</v>
      </c>
      <c r="N6346" t="str">
        <f>"248030502823"</f>
        <v>248030502823</v>
      </c>
      <c r="O6346" t="str">
        <f>"46000620000720164X"</f>
        <v>46000620000720164X</v>
      </c>
    </row>
    <row r="6347" customFormat="1" spans="1:15">
      <c r="A6347">
        <v>8113</v>
      </c>
      <c r="B6347" t="s">
        <v>6598</v>
      </c>
      <c r="C6347" t="str">
        <f>"460300199302090324"</f>
        <v>460300199302090324</v>
      </c>
      <c r="D6347" t="str">
        <f>"248030102229"</f>
        <v>248030102229</v>
      </c>
      <c r="L6347">
        <v>8113</v>
      </c>
      <c r="M6347" t="s">
        <v>6598</v>
      </c>
      <c r="N6347" t="str">
        <f>"248030102229"</f>
        <v>248030102229</v>
      </c>
      <c r="O6347" t="str">
        <f>"460300199302090324"</f>
        <v>460300199302090324</v>
      </c>
    </row>
    <row r="6348" customFormat="1" spans="1:15">
      <c r="A6348">
        <v>8114</v>
      </c>
      <c r="B6348" t="s">
        <v>6599</v>
      </c>
      <c r="C6348" t="str">
        <f>"469007199801158027"</f>
        <v>469007199801158027</v>
      </c>
      <c r="D6348" t="str">
        <f>"248030100914"</f>
        <v>248030100914</v>
      </c>
      <c r="L6348">
        <v>8114</v>
      </c>
      <c r="M6348" t="s">
        <v>6599</v>
      </c>
      <c r="N6348" t="str">
        <f>"248030100914"</f>
        <v>248030100914</v>
      </c>
      <c r="O6348" t="str">
        <f>"469007199801158027"</f>
        <v>469007199801158027</v>
      </c>
    </row>
    <row r="6349" customFormat="1" spans="1:15">
      <c r="A6349">
        <v>8116</v>
      </c>
      <c r="B6349" t="s">
        <v>6600</v>
      </c>
      <c r="C6349" t="str">
        <f>"460003200206010214"</f>
        <v>460003200206010214</v>
      </c>
      <c r="D6349" t="str">
        <f>"248030201223"</f>
        <v>248030201223</v>
      </c>
      <c r="L6349">
        <v>8116</v>
      </c>
      <c r="M6349" t="s">
        <v>6600</v>
      </c>
      <c r="N6349" t="str">
        <f>"248030201223"</f>
        <v>248030201223</v>
      </c>
      <c r="O6349" t="str">
        <f>"460003200206010214"</f>
        <v>460003200206010214</v>
      </c>
    </row>
    <row r="6350" customFormat="1" spans="1:15">
      <c r="A6350">
        <v>8117</v>
      </c>
      <c r="B6350" t="s">
        <v>6601</v>
      </c>
      <c r="C6350" t="str">
        <f>"532531200004080241"</f>
        <v>532531200004080241</v>
      </c>
      <c r="D6350" t="str">
        <f>"248030501103"</f>
        <v>248030501103</v>
      </c>
      <c r="L6350">
        <v>8117</v>
      </c>
      <c r="M6350" t="s">
        <v>6601</v>
      </c>
      <c r="N6350" t="str">
        <f>"248030501103"</f>
        <v>248030501103</v>
      </c>
      <c r="O6350" t="str">
        <f>"532531200004080241"</f>
        <v>532531200004080241</v>
      </c>
    </row>
    <row r="6351" customFormat="1" spans="1:15">
      <c r="A6351">
        <v>8118</v>
      </c>
      <c r="B6351" t="s">
        <v>6602</v>
      </c>
      <c r="C6351" t="str">
        <f>"460034199309301224"</f>
        <v>460034199309301224</v>
      </c>
      <c r="L6351">
        <v>8118</v>
      </c>
      <c r="M6351" t="s">
        <v>6602</v>
      </c>
      <c r="O6351" t="str">
        <f>"460034199309301224"</f>
        <v>460034199309301224</v>
      </c>
    </row>
    <row r="6352" customFormat="1" spans="1:15">
      <c r="A6352">
        <v>8119</v>
      </c>
      <c r="B6352" t="s">
        <v>6603</v>
      </c>
      <c r="C6352" t="str">
        <f>"460002199405150023"</f>
        <v>460002199405150023</v>
      </c>
      <c r="L6352">
        <v>8119</v>
      </c>
      <c r="M6352" t="s">
        <v>6603</v>
      </c>
      <c r="O6352" t="str">
        <f>"460002199405150023"</f>
        <v>460002199405150023</v>
      </c>
    </row>
    <row r="6353" customFormat="1" spans="1:15">
      <c r="A6353">
        <v>8120</v>
      </c>
      <c r="B6353" t="s">
        <v>6604</v>
      </c>
      <c r="C6353" t="str">
        <f>"46002819941012646X"</f>
        <v>46002819941012646X</v>
      </c>
      <c r="D6353" t="str">
        <f>"248030104403"</f>
        <v>248030104403</v>
      </c>
      <c r="L6353">
        <v>8120</v>
      </c>
      <c r="M6353" t="s">
        <v>6604</v>
      </c>
      <c r="N6353" t="str">
        <f>"248030104403"</f>
        <v>248030104403</v>
      </c>
      <c r="O6353" t="str">
        <f>"46002819941012646X"</f>
        <v>46002819941012646X</v>
      </c>
    </row>
    <row r="6354" customFormat="1" spans="1:15">
      <c r="A6354">
        <v>8122</v>
      </c>
      <c r="B6354" t="s">
        <v>6605</v>
      </c>
      <c r="C6354" t="str">
        <f>"460028199902280842"</f>
        <v>460028199902280842</v>
      </c>
      <c r="D6354" t="str">
        <f>"248030402411"</f>
        <v>248030402411</v>
      </c>
      <c r="L6354">
        <v>8122</v>
      </c>
      <c r="M6354" t="s">
        <v>6605</v>
      </c>
      <c r="N6354" t="str">
        <f>"248030402411"</f>
        <v>248030402411</v>
      </c>
      <c r="O6354" t="str">
        <f>"460028199902280842"</f>
        <v>460028199902280842</v>
      </c>
    </row>
    <row r="6355" customFormat="1" spans="1:15">
      <c r="A6355">
        <v>8123</v>
      </c>
      <c r="B6355" t="s">
        <v>6606</v>
      </c>
      <c r="C6355" t="str">
        <f>"460004198904010613"</f>
        <v>460004198904010613</v>
      </c>
      <c r="D6355" t="str">
        <f>"248030403319"</f>
        <v>248030403319</v>
      </c>
      <c r="L6355">
        <v>8123</v>
      </c>
      <c r="M6355" t="s">
        <v>6606</v>
      </c>
      <c r="N6355" t="str">
        <f>"248030403319"</f>
        <v>248030403319</v>
      </c>
      <c r="O6355" t="str">
        <f>"460004198904010613"</f>
        <v>460004198904010613</v>
      </c>
    </row>
    <row r="6356" customFormat="1" spans="1:15">
      <c r="A6356">
        <v>8125</v>
      </c>
      <c r="B6356" t="s">
        <v>6607</v>
      </c>
      <c r="C6356" t="str">
        <f>"460300200106080028"</f>
        <v>460300200106080028</v>
      </c>
      <c r="D6356" t="str">
        <f>"248030501626"</f>
        <v>248030501626</v>
      </c>
      <c r="L6356">
        <v>8125</v>
      </c>
      <c r="M6356" t="s">
        <v>6607</v>
      </c>
      <c r="N6356" t="str">
        <f>"248030501626"</f>
        <v>248030501626</v>
      </c>
      <c r="O6356" t="str">
        <f>"460300200106080028"</f>
        <v>460300200106080028</v>
      </c>
    </row>
    <row r="6357" customFormat="1" spans="1:15">
      <c r="A6357">
        <v>8127</v>
      </c>
      <c r="B6357" t="s">
        <v>6608</v>
      </c>
      <c r="C6357" t="str">
        <f>"460028199805010015"</f>
        <v>460028199805010015</v>
      </c>
      <c r="L6357">
        <v>8127</v>
      </c>
      <c r="M6357" t="s">
        <v>6608</v>
      </c>
      <c r="O6357" t="str">
        <f>"460028199805010015"</f>
        <v>460028199805010015</v>
      </c>
    </row>
    <row r="6358" customFormat="1" spans="1:15">
      <c r="A6358">
        <v>8128</v>
      </c>
      <c r="B6358" t="s">
        <v>6609</v>
      </c>
      <c r="C6358" t="str">
        <f>"460200199407305146"</f>
        <v>460200199407305146</v>
      </c>
      <c r="L6358">
        <v>8128</v>
      </c>
      <c r="M6358" t="s">
        <v>6609</v>
      </c>
      <c r="O6358" t="str">
        <f>"460200199407305146"</f>
        <v>460200199407305146</v>
      </c>
    </row>
    <row r="6359" customFormat="1" spans="1:15">
      <c r="A6359">
        <v>8129</v>
      </c>
      <c r="B6359" t="s">
        <v>6610</v>
      </c>
      <c r="C6359" t="str">
        <f>"460102199109303326"</f>
        <v>460102199109303326</v>
      </c>
      <c r="D6359" t="str">
        <f>"248030502805"</f>
        <v>248030502805</v>
      </c>
      <c r="L6359">
        <v>8129</v>
      </c>
      <c r="M6359" t="s">
        <v>6610</v>
      </c>
      <c r="N6359" t="str">
        <f>"248030502805"</f>
        <v>248030502805</v>
      </c>
      <c r="O6359" t="str">
        <f>"460102199109303326"</f>
        <v>460102199109303326</v>
      </c>
    </row>
    <row r="6360" customFormat="1" spans="1:15">
      <c r="A6360">
        <v>8130</v>
      </c>
      <c r="B6360" t="s">
        <v>1205</v>
      </c>
      <c r="C6360" t="str">
        <f>"460300199805250043"</f>
        <v>460300199805250043</v>
      </c>
      <c r="L6360">
        <v>8130</v>
      </c>
      <c r="M6360" t="s">
        <v>1205</v>
      </c>
      <c r="O6360" t="str">
        <f>"460300199805250043"</f>
        <v>460300199805250043</v>
      </c>
    </row>
    <row r="6361" customFormat="1" spans="1:15">
      <c r="A6361">
        <v>8131</v>
      </c>
      <c r="B6361" t="s">
        <v>6611</v>
      </c>
      <c r="C6361" t="str">
        <f>"460103199810190020"</f>
        <v>460103199810190020</v>
      </c>
      <c r="D6361" t="str">
        <f>"248030403906"</f>
        <v>248030403906</v>
      </c>
      <c r="L6361">
        <v>8131</v>
      </c>
      <c r="M6361" t="s">
        <v>6611</v>
      </c>
      <c r="N6361" t="str">
        <f>"248030403906"</f>
        <v>248030403906</v>
      </c>
      <c r="O6361" t="str">
        <f>"460103199810190020"</f>
        <v>460103199810190020</v>
      </c>
    </row>
    <row r="6362" customFormat="1" spans="1:15">
      <c r="A6362">
        <v>8132</v>
      </c>
      <c r="B6362" t="s">
        <v>6612</v>
      </c>
      <c r="C6362" t="str">
        <f>"460200199909193340"</f>
        <v>460200199909193340</v>
      </c>
      <c r="D6362" t="str">
        <f>"248030404024"</f>
        <v>248030404024</v>
      </c>
      <c r="L6362">
        <v>8132</v>
      </c>
      <c r="M6362" t="s">
        <v>6612</v>
      </c>
      <c r="N6362" t="str">
        <f>"248030404024"</f>
        <v>248030404024</v>
      </c>
      <c r="O6362" t="str">
        <f>"460200199909193340"</f>
        <v>460200199909193340</v>
      </c>
    </row>
    <row r="6363" customFormat="1" spans="1:15">
      <c r="A6363">
        <v>8133</v>
      </c>
      <c r="B6363" t="s">
        <v>6613</v>
      </c>
      <c r="C6363" t="str">
        <f>"460028200105076027"</f>
        <v>460028200105076027</v>
      </c>
      <c r="D6363" t="str">
        <f>"248030301918"</f>
        <v>248030301918</v>
      </c>
      <c r="L6363">
        <v>8133</v>
      </c>
      <c r="M6363" t="s">
        <v>6613</v>
      </c>
      <c r="N6363" t="str">
        <f>"248030301918"</f>
        <v>248030301918</v>
      </c>
      <c r="O6363" t="str">
        <f>"460028200105076027"</f>
        <v>460028200105076027</v>
      </c>
    </row>
    <row r="6364" customFormat="1" spans="1:15">
      <c r="A6364">
        <v>8135</v>
      </c>
      <c r="B6364" t="s">
        <v>6614</v>
      </c>
      <c r="C6364" t="str">
        <f>"460006200206255229"</f>
        <v>460006200206255229</v>
      </c>
      <c r="D6364" t="str">
        <f>"248030503603"</f>
        <v>248030503603</v>
      </c>
      <c r="L6364">
        <v>8135</v>
      </c>
      <c r="M6364" t="s">
        <v>6614</v>
      </c>
      <c r="N6364" t="str">
        <f>"248030503603"</f>
        <v>248030503603</v>
      </c>
      <c r="O6364" t="str">
        <f>"460006200206255229"</f>
        <v>460006200206255229</v>
      </c>
    </row>
    <row r="6365" customFormat="1" spans="1:15">
      <c r="A6365">
        <v>8136</v>
      </c>
      <c r="B6365" t="s">
        <v>6615</v>
      </c>
      <c r="C6365" t="str">
        <f>"46003320020831448X"</f>
        <v>46003320020831448X</v>
      </c>
      <c r="D6365" t="str">
        <f>"248030403927"</f>
        <v>248030403927</v>
      </c>
      <c r="L6365">
        <v>8136</v>
      </c>
      <c r="M6365" t="s">
        <v>6615</v>
      </c>
      <c r="N6365" t="str">
        <f>"248030403927"</f>
        <v>248030403927</v>
      </c>
      <c r="O6365" t="str">
        <f>"46003320020831448X"</f>
        <v>46003320020831448X</v>
      </c>
    </row>
    <row r="6366" customFormat="1" spans="1:15">
      <c r="A6366">
        <v>8137</v>
      </c>
      <c r="B6366" t="s">
        <v>6616</v>
      </c>
      <c r="C6366" t="str">
        <f>"460007199911270038"</f>
        <v>460007199911270038</v>
      </c>
      <c r="D6366" t="str">
        <f>"248030200204"</f>
        <v>248030200204</v>
      </c>
      <c r="L6366">
        <v>8137</v>
      </c>
      <c r="M6366" t="s">
        <v>6616</v>
      </c>
      <c r="N6366" t="str">
        <f>"248030200204"</f>
        <v>248030200204</v>
      </c>
      <c r="O6366" t="str">
        <f>"460007199911270038"</f>
        <v>460007199911270038</v>
      </c>
    </row>
    <row r="6367" customFormat="1" spans="1:15">
      <c r="A6367">
        <v>8138</v>
      </c>
      <c r="B6367" t="s">
        <v>6617</v>
      </c>
      <c r="C6367" t="str">
        <f>"320581200012223444"</f>
        <v>320581200012223444</v>
      </c>
      <c r="D6367" t="str">
        <f>"248030102913"</f>
        <v>248030102913</v>
      </c>
      <c r="L6367">
        <v>8138</v>
      </c>
      <c r="M6367" t="s">
        <v>6617</v>
      </c>
      <c r="N6367" t="str">
        <f>"248030102913"</f>
        <v>248030102913</v>
      </c>
      <c r="O6367" t="str">
        <f>"320581200012223444"</f>
        <v>320581200012223444</v>
      </c>
    </row>
    <row r="6368" customFormat="1" spans="1:15">
      <c r="A6368">
        <v>8139</v>
      </c>
      <c r="B6368" t="s">
        <v>6618</v>
      </c>
      <c r="C6368" t="str">
        <f>"460004199505120086"</f>
        <v>460004199505120086</v>
      </c>
      <c r="D6368" t="str">
        <f>"248030503106"</f>
        <v>248030503106</v>
      </c>
      <c r="L6368">
        <v>8139</v>
      </c>
      <c r="M6368" t="s">
        <v>6618</v>
      </c>
      <c r="N6368" t="str">
        <f>"248030503106"</f>
        <v>248030503106</v>
      </c>
      <c r="O6368" t="str">
        <f>"460004199505120086"</f>
        <v>460004199505120086</v>
      </c>
    </row>
    <row r="6369" customFormat="1" spans="1:15">
      <c r="A6369">
        <v>8141</v>
      </c>
      <c r="B6369" t="s">
        <v>6619</v>
      </c>
      <c r="C6369" t="str">
        <f>"360403198802012724"</f>
        <v>360403198802012724</v>
      </c>
      <c r="D6369" t="str">
        <f>"248030202614"</f>
        <v>248030202614</v>
      </c>
      <c r="L6369">
        <v>8141</v>
      </c>
      <c r="M6369" t="s">
        <v>6619</v>
      </c>
      <c r="N6369" t="str">
        <f>"248030202614"</f>
        <v>248030202614</v>
      </c>
      <c r="O6369" t="str">
        <f>"360403198802012724"</f>
        <v>360403198802012724</v>
      </c>
    </row>
    <row r="6370" customFormat="1" spans="1:15">
      <c r="A6370">
        <v>8142</v>
      </c>
      <c r="B6370" t="s">
        <v>6620</v>
      </c>
      <c r="C6370" t="str">
        <f>"210504199608071361"</f>
        <v>210504199608071361</v>
      </c>
      <c r="L6370">
        <v>8142</v>
      </c>
      <c r="M6370" t="s">
        <v>6620</v>
      </c>
      <c r="O6370" t="str">
        <f>"210504199608071361"</f>
        <v>210504199608071361</v>
      </c>
    </row>
    <row r="6371" customFormat="1" spans="1:15">
      <c r="A6371">
        <v>8146</v>
      </c>
      <c r="B6371" t="s">
        <v>6621</v>
      </c>
      <c r="C6371" t="str">
        <f>"460033200108164525"</f>
        <v>460033200108164525</v>
      </c>
      <c r="D6371" t="str">
        <f>"248030402424"</f>
        <v>248030402424</v>
      </c>
      <c r="L6371">
        <v>8146</v>
      </c>
      <c r="M6371" t="s">
        <v>6621</v>
      </c>
      <c r="N6371" t="str">
        <f>"248030402424"</f>
        <v>248030402424</v>
      </c>
      <c r="O6371" t="str">
        <f>"460033200108164525"</f>
        <v>460033200108164525</v>
      </c>
    </row>
    <row r="6372" customFormat="1" spans="1:15">
      <c r="A6372">
        <v>8147</v>
      </c>
      <c r="B6372" t="s">
        <v>6622</v>
      </c>
      <c r="C6372" t="str">
        <f>"460033199210173211"</f>
        <v>460033199210173211</v>
      </c>
      <c r="L6372">
        <v>8147</v>
      </c>
      <c r="M6372" t="s">
        <v>6622</v>
      </c>
      <c r="O6372" t="str">
        <f>"460033199210173211"</f>
        <v>460033199210173211</v>
      </c>
    </row>
    <row r="6373" customFormat="1" spans="1:15">
      <c r="A6373">
        <v>8148</v>
      </c>
      <c r="B6373" t="s">
        <v>6623</v>
      </c>
      <c r="C6373" t="str">
        <f>"460022199305062523"</f>
        <v>460022199305062523</v>
      </c>
      <c r="D6373" t="str">
        <f>"248030403813"</f>
        <v>248030403813</v>
      </c>
      <c r="L6373">
        <v>8148</v>
      </c>
      <c r="M6373" t="s">
        <v>6623</v>
      </c>
      <c r="N6373" t="str">
        <f>"248030403813"</f>
        <v>248030403813</v>
      </c>
      <c r="O6373" t="str">
        <f>"460022199305062523"</f>
        <v>460022199305062523</v>
      </c>
    </row>
    <row r="6374" customFormat="1" spans="1:15">
      <c r="A6374">
        <v>8149</v>
      </c>
      <c r="B6374" t="s">
        <v>6624</v>
      </c>
      <c r="C6374" t="str">
        <f>"340702200011232516"</f>
        <v>340702200011232516</v>
      </c>
      <c r="D6374" t="str">
        <f>"248030402509"</f>
        <v>248030402509</v>
      </c>
      <c r="L6374">
        <v>8149</v>
      </c>
      <c r="M6374" t="s">
        <v>6624</v>
      </c>
      <c r="N6374" t="str">
        <f>"248030402509"</f>
        <v>248030402509</v>
      </c>
      <c r="O6374" t="str">
        <f>"340702200011232516"</f>
        <v>340702200011232516</v>
      </c>
    </row>
    <row r="6375" customFormat="1" spans="1:15">
      <c r="A6375">
        <v>8150</v>
      </c>
      <c r="B6375" t="s">
        <v>6625</v>
      </c>
      <c r="C6375" t="str">
        <f>"460103199009150621"</f>
        <v>460103199009150621</v>
      </c>
      <c r="D6375" t="str">
        <f>"248030203421"</f>
        <v>248030203421</v>
      </c>
      <c r="L6375">
        <v>8150</v>
      </c>
      <c r="M6375" t="s">
        <v>6625</v>
      </c>
      <c r="N6375" t="str">
        <f>"248030203421"</f>
        <v>248030203421</v>
      </c>
      <c r="O6375" t="str">
        <f>"460103199009150621"</f>
        <v>460103199009150621</v>
      </c>
    </row>
    <row r="6376" customFormat="1" spans="1:15">
      <c r="A6376">
        <v>8151</v>
      </c>
      <c r="B6376" t="s">
        <v>6626</v>
      </c>
      <c r="C6376" t="str">
        <f>"460004199704202420"</f>
        <v>460004199704202420</v>
      </c>
      <c r="D6376" t="str">
        <f>"248030502023"</f>
        <v>248030502023</v>
      </c>
      <c r="L6376">
        <v>8151</v>
      </c>
      <c r="M6376" t="s">
        <v>6626</v>
      </c>
      <c r="N6376" t="str">
        <f>"248030502023"</f>
        <v>248030502023</v>
      </c>
      <c r="O6376" t="str">
        <f>"460004199704202420"</f>
        <v>460004199704202420</v>
      </c>
    </row>
    <row r="6377" customFormat="1" spans="1:15">
      <c r="A6377">
        <v>8152</v>
      </c>
      <c r="B6377" t="s">
        <v>6627</v>
      </c>
      <c r="C6377" t="str">
        <f>"460003200108304622"</f>
        <v>460003200108304622</v>
      </c>
      <c r="D6377" t="str">
        <f>"248030301824"</f>
        <v>248030301824</v>
      </c>
      <c r="L6377">
        <v>8152</v>
      </c>
      <c r="M6377" t="s">
        <v>6627</v>
      </c>
      <c r="N6377" t="str">
        <f>"248030301824"</f>
        <v>248030301824</v>
      </c>
      <c r="O6377" t="str">
        <f>"460003200108304622"</f>
        <v>460003200108304622</v>
      </c>
    </row>
    <row r="6378" customFormat="1" spans="1:15">
      <c r="A6378">
        <v>8153</v>
      </c>
      <c r="B6378" t="s">
        <v>6628</v>
      </c>
      <c r="C6378" t="str">
        <f>"511922199610093400"</f>
        <v>511922199610093400</v>
      </c>
      <c r="D6378" t="str">
        <f>"248030100521"</f>
        <v>248030100521</v>
      </c>
      <c r="L6378">
        <v>8153</v>
      </c>
      <c r="M6378" t="s">
        <v>6628</v>
      </c>
      <c r="N6378" t="str">
        <f>"248030100521"</f>
        <v>248030100521</v>
      </c>
      <c r="O6378" t="str">
        <f>"511922199610093400"</f>
        <v>511922199610093400</v>
      </c>
    </row>
    <row r="6379" customFormat="1" spans="1:15">
      <c r="A6379">
        <v>8154</v>
      </c>
      <c r="B6379" t="s">
        <v>6629</v>
      </c>
      <c r="C6379" t="str">
        <f>"460007200109120046"</f>
        <v>460007200109120046</v>
      </c>
      <c r="D6379" t="str">
        <f>"248030501614"</f>
        <v>248030501614</v>
      </c>
      <c r="L6379">
        <v>8154</v>
      </c>
      <c r="M6379" t="s">
        <v>6629</v>
      </c>
      <c r="N6379" t="str">
        <f>"248030501614"</f>
        <v>248030501614</v>
      </c>
      <c r="O6379" t="str">
        <f>"460007200109120046"</f>
        <v>460007200109120046</v>
      </c>
    </row>
    <row r="6380" customFormat="1" spans="1:15">
      <c r="A6380">
        <v>8155</v>
      </c>
      <c r="B6380" t="s">
        <v>6630</v>
      </c>
      <c r="C6380" t="str">
        <f>"460034199508181229"</f>
        <v>460034199508181229</v>
      </c>
      <c r="D6380" t="str">
        <f>"248030502121"</f>
        <v>248030502121</v>
      </c>
      <c r="L6380">
        <v>8155</v>
      </c>
      <c r="M6380" t="s">
        <v>6630</v>
      </c>
      <c r="N6380" t="str">
        <f>"248030502121"</f>
        <v>248030502121</v>
      </c>
      <c r="O6380" t="str">
        <f>"460034199508181229"</f>
        <v>460034199508181229</v>
      </c>
    </row>
    <row r="6381" customFormat="1" spans="1:15">
      <c r="A6381">
        <v>8156</v>
      </c>
      <c r="B6381" t="s">
        <v>6631</v>
      </c>
      <c r="C6381" t="str">
        <f>"630121200301273645"</f>
        <v>630121200301273645</v>
      </c>
      <c r="L6381">
        <v>8156</v>
      </c>
      <c r="M6381" t="s">
        <v>6631</v>
      </c>
      <c r="O6381" t="str">
        <f>"630121200301273645"</f>
        <v>630121200301273645</v>
      </c>
    </row>
    <row r="6382" customFormat="1" spans="1:15">
      <c r="A6382">
        <v>8157</v>
      </c>
      <c r="B6382" t="s">
        <v>16</v>
      </c>
      <c r="C6382" t="str">
        <f>"460005200001114522"</f>
        <v>460005200001114522</v>
      </c>
      <c r="D6382" t="str">
        <f>"248030504304"</f>
        <v>248030504304</v>
      </c>
      <c r="L6382">
        <v>8157</v>
      </c>
      <c r="M6382" t="s">
        <v>16</v>
      </c>
      <c r="N6382" t="str">
        <f>"248030504304"</f>
        <v>248030504304</v>
      </c>
      <c r="O6382" t="str">
        <f>"460005200001114522"</f>
        <v>460005200001114522</v>
      </c>
    </row>
    <row r="6383" customFormat="1" spans="1:15">
      <c r="A6383">
        <v>8158</v>
      </c>
      <c r="B6383" t="s">
        <v>6632</v>
      </c>
      <c r="C6383" t="str">
        <f>"460006198906218728"</f>
        <v>460006198906218728</v>
      </c>
      <c r="D6383" t="str">
        <f>"248030101320"</f>
        <v>248030101320</v>
      </c>
      <c r="L6383">
        <v>8158</v>
      </c>
      <c r="M6383" t="s">
        <v>6632</v>
      </c>
      <c r="N6383" t="str">
        <f>"248030101320"</f>
        <v>248030101320</v>
      </c>
      <c r="O6383" t="str">
        <f>"460006198906218728"</f>
        <v>460006198906218728</v>
      </c>
    </row>
    <row r="6384" customFormat="1" spans="1:15">
      <c r="A6384">
        <v>8161</v>
      </c>
      <c r="B6384" t="s">
        <v>6633</v>
      </c>
      <c r="C6384" t="str">
        <f>"460035199901191921"</f>
        <v>460035199901191921</v>
      </c>
      <c r="L6384">
        <v>8161</v>
      </c>
      <c r="M6384" t="s">
        <v>6633</v>
      </c>
      <c r="O6384" t="str">
        <f>"460035199901191921"</f>
        <v>460035199901191921</v>
      </c>
    </row>
    <row r="6385" customFormat="1" spans="1:15">
      <c r="A6385">
        <v>8163</v>
      </c>
      <c r="B6385" t="s">
        <v>154</v>
      </c>
      <c r="C6385" t="str">
        <f>"460025199707220917"</f>
        <v>460025199707220917</v>
      </c>
      <c r="D6385" t="str">
        <f>"248030301414"</f>
        <v>248030301414</v>
      </c>
      <c r="L6385">
        <v>8163</v>
      </c>
      <c r="M6385" t="s">
        <v>154</v>
      </c>
      <c r="N6385" t="str">
        <f>"248030301414"</f>
        <v>248030301414</v>
      </c>
      <c r="O6385" t="str">
        <f>"460025199707220917"</f>
        <v>460025199707220917</v>
      </c>
    </row>
    <row r="6386" customFormat="1" spans="1:15">
      <c r="A6386">
        <v>8165</v>
      </c>
      <c r="B6386" t="s">
        <v>6634</v>
      </c>
      <c r="C6386" t="str">
        <f>"460006200003153126"</f>
        <v>460006200003153126</v>
      </c>
      <c r="D6386" t="str">
        <f>"248030301510"</f>
        <v>248030301510</v>
      </c>
      <c r="L6386">
        <v>8165</v>
      </c>
      <c r="M6386" t="s">
        <v>6634</v>
      </c>
      <c r="N6386" t="str">
        <f>"248030301510"</f>
        <v>248030301510</v>
      </c>
      <c r="O6386" t="str">
        <f>"460006200003153126"</f>
        <v>460006200003153126</v>
      </c>
    </row>
    <row r="6387" customFormat="1" spans="1:15">
      <c r="A6387">
        <v>8167</v>
      </c>
      <c r="B6387" t="s">
        <v>1066</v>
      </c>
      <c r="C6387" t="str">
        <f>"46902320020322232X"</f>
        <v>46902320020322232X</v>
      </c>
      <c r="D6387" t="str">
        <f>"248030501630"</f>
        <v>248030501630</v>
      </c>
      <c r="L6387">
        <v>8167</v>
      </c>
      <c r="M6387" t="s">
        <v>1066</v>
      </c>
      <c r="N6387" t="str">
        <f>"248030501630"</f>
        <v>248030501630</v>
      </c>
      <c r="O6387" t="str">
        <f>"46902320020322232X"</f>
        <v>46902320020322232X</v>
      </c>
    </row>
    <row r="6388" customFormat="1" spans="1:15">
      <c r="A6388">
        <v>8168</v>
      </c>
      <c r="B6388" t="s">
        <v>6635</v>
      </c>
      <c r="C6388" t="str">
        <f>"460007199312036207"</f>
        <v>460007199312036207</v>
      </c>
      <c r="D6388" t="str">
        <f>"248030100408"</f>
        <v>248030100408</v>
      </c>
      <c r="L6388">
        <v>8168</v>
      </c>
      <c r="M6388" t="s">
        <v>6635</v>
      </c>
      <c r="N6388" t="str">
        <f>"248030100408"</f>
        <v>248030100408</v>
      </c>
      <c r="O6388" t="str">
        <f>"460007199312036207"</f>
        <v>460007199312036207</v>
      </c>
    </row>
    <row r="6389" customFormat="1" spans="1:15">
      <c r="A6389">
        <v>8169</v>
      </c>
      <c r="B6389" t="s">
        <v>6636</v>
      </c>
      <c r="C6389" t="str">
        <f>"460107200109193048"</f>
        <v>460107200109193048</v>
      </c>
      <c r="D6389" t="str">
        <f>"248030100120"</f>
        <v>248030100120</v>
      </c>
      <c r="L6389">
        <v>8169</v>
      </c>
      <c r="M6389" t="s">
        <v>6636</v>
      </c>
      <c r="N6389" t="str">
        <f>"248030100120"</f>
        <v>248030100120</v>
      </c>
      <c r="O6389" t="str">
        <f>"460107200109193048"</f>
        <v>460107200109193048</v>
      </c>
    </row>
    <row r="6390" customFormat="1" spans="1:15">
      <c r="A6390">
        <v>8170</v>
      </c>
      <c r="B6390" t="s">
        <v>6637</v>
      </c>
      <c r="C6390" t="str">
        <f>"371502199705270429"</f>
        <v>371502199705270429</v>
      </c>
      <c r="D6390" t="str">
        <f>"248030203130"</f>
        <v>248030203130</v>
      </c>
      <c r="L6390">
        <v>8170</v>
      </c>
      <c r="M6390" t="s">
        <v>6637</v>
      </c>
      <c r="N6390" t="str">
        <f>"248030203130"</f>
        <v>248030203130</v>
      </c>
      <c r="O6390" t="str">
        <f>"371502199705270429"</f>
        <v>371502199705270429</v>
      </c>
    </row>
    <row r="6391" customFormat="1" spans="1:15">
      <c r="A6391">
        <v>8171</v>
      </c>
      <c r="B6391" t="s">
        <v>6638</v>
      </c>
      <c r="C6391" t="str">
        <f>"469021200108042424"</f>
        <v>469021200108042424</v>
      </c>
      <c r="D6391" t="str">
        <f>"248030103611"</f>
        <v>248030103611</v>
      </c>
      <c r="L6391">
        <v>8171</v>
      </c>
      <c r="M6391" t="s">
        <v>6638</v>
      </c>
      <c r="N6391" t="str">
        <f>"248030103611"</f>
        <v>248030103611</v>
      </c>
      <c r="O6391" t="str">
        <f>"469021200108042424"</f>
        <v>469021200108042424</v>
      </c>
    </row>
    <row r="6392" customFormat="1" spans="1:15">
      <c r="A6392">
        <v>8172</v>
      </c>
      <c r="B6392" t="s">
        <v>6639</v>
      </c>
      <c r="C6392" t="str">
        <f>"231223200109100028"</f>
        <v>231223200109100028</v>
      </c>
      <c r="D6392" t="str">
        <f>"248030403627"</f>
        <v>248030403627</v>
      </c>
      <c r="L6392">
        <v>8172</v>
      </c>
      <c r="M6392" t="s">
        <v>6639</v>
      </c>
      <c r="N6392" t="str">
        <f>"248030403627"</f>
        <v>248030403627</v>
      </c>
      <c r="O6392" t="str">
        <f>"231223200109100028"</f>
        <v>231223200109100028</v>
      </c>
    </row>
    <row r="6393" customFormat="1" spans="1:15">
      <c r="A6393">
        <v>8173</v>
      </c>
      <c r="B6393" t="s">
        <v>6640</v>
      </c>
      <c r="C6393" t="str">
        <f>"469023200207091312"</f>
        <v>469023200207091312</v>
      </c>
      <c r="D6393" t="str">
        <f>"248030202218"</f>
        <v>248030202218</v>
      </c>
      <c r="L6393">
        <v>8173</v>
      </c>
      <c r="M6393" t="s">
        <v>6640</v>
      </c>
      <c r="N6393" t="str">
        <f>"248030202218"</f>
        <v>248030202218</v>
      </c>
      <c r="O6393" t="str">
        <f>"469023200207091312"</f>
        <v>469023200207091312</v>
      </c>
    </row>
    <row r="6394" customFormat="1" spans="1:15">
      <c r="A6394">
        <v>8174</v>
      </c>
      <c r="B6394" t="s">
        <v>2643</v>
      </c>
      <c r="C6394" t="str">
        <f>"130282199302103327"</f>
        <v>130282199302103327</v>
      </c>
      <c r="D6394" t="str">
        <f>"248030502221"</f>
        <v>248030502221</v>
      </c>
      <c r="L6394">
        <v>8174</v>
      </c>
      <c r="M6394" t="s">
        <v>2643</v>
      </c>
      <c r="N6394" t="str">
        <f>"248030502221"</f>
        <v>248030502221</v>
      </c>
      <c r="O6394" t="str">
        <f>"130282199302103327"</f>
        <v>130282199302103327</v>
      </c>
    </row>
    <row r="6395" customFormat="1" spans="1:15">
      <c r="A6395">
        <v>8175</v>
      </c>
      <c r="B6395" t="s">
        <v>6641</v>
      </c>
      <c r="C6395" t="str">
        <f>"460034198905222712"</f>
        <v>460034198905222712</v>
      </c>
      <c r="D6395" t="str">
        <f>"248030202219"</f>
        <v>248030202219</v>
      </c>
      <c r="L6395">
        <v>8175</v>
      </c>
      <c r="M6395" t="s">
        <v>6641</v>
      </c>
      <c r="N6395" t="str">
        <f>"248030202219"</f>
        <v>248030202219</v>
      </c>
      <c r="O6395" t="str">
        <f>"460034198905222712"</f>
        <v>460034198905222712</v>
      </c>
    </row>
    <row r="6396" customFormat="1" spans="1:15">
      <c r="A6396">
        <v>8176</v>
      </c>
      <c r="B6396" t="s">
        <v>6642</v>
      </c>
      <c r="C6396" t="str">
        <f>"500106200109065421"</f>
        <v>500106200109065421</v>
      </c>
      <c r="D6396" t="str">
        <f>"248030201615"</f>
        <v>248030201615</v>
      </c>
      <c r="L6396">
        <v>8176</v>
      </c>
      <c r="M6396" t="s">
        <v>6642</v>
      </c>
      <c r="N6396" t="str">
        <f>"248030201615"</f>
        <v>248030201615</v>
      </c>
      <c r="O6396" t="str">
        <f>"500106200109065421"</f>
        <v>500106200109065421</v>
      </c>
    </row>
    <row r="6397" customFormat="1" spans="1:15">
      <c r="A6397">
        <v>8177</v>
      </c>
      <c r="B6397" t="s">
        <v>6643</v>
      </c>
      <c r="C6397" t="str">
        <f>"460006199412292949"</f>
        <v>460006199412292949</v>
      </c>
      <c r="L6397">
        <v>8177</v>
      </c>
      <c r="M6397" t="s">
        <v>6643</v>
      </c>
      <c r="O6397" t="str">
        <f>"460006199412292949"</f>
        <v>460006199412292949</v>
      </c>
    </row>
    <row r="6398" customFormat="1" spans="1:15">
      <c r="A6398">
        <v>8178</v>
      </c>
      <c r="B6398" t="s">
        <v>6644</v>
      </c>
      <c r="C6398" t="str">
        <f>"460102199902200023"</f>
        <v>460102199902200023</v>
      </c>
      <c r="D6398" t="str">
        <f>"248030104508"</f>
        <v>248030104508</v>
      </c>
      <c r="L6398">
        <v>8178</v>
      </c>
      <c r="M6398" t="s">
        <v>6644</v>
      </c>
      <c r="N6398" t="str">
        <f>"248030104508"</f>
        <v>248030104508</v>
      </c>
      <c r="O6398" t="str">
        <f>"460102199902200023"</f>
        <v>460102199902200023</v>
      </c>
    </row>
    <row r="6399" customFormat="1" spans="1:15">
      <c r="A6399">
        <v>8179</v>
      </c>
      <c r="B6399" t="s">
        <v>6645</v>
      </c>
      <c r="C6399" t="str">
        <f>"239005199111202523"</f>
        <v>239005199111202523</v>
      </c>
      <c r="L6399">
        <v>8179</v>
      </c>
      <c r="M6399" t="s">
        <v>6645</v>
      </c>
      <c r="O6399" t="str">
        <f>"239005199111202523"</f>
        <v>239005199111202523</v>
      </c>
    </row>
    <row r="6400" customFormat="1" spans="1:15">
      <c r="A6400">
        <v>8180</v>
      </c>
      <c r="B6400" t="s">
        <v>6646</v>
      </c>
      <c r="C6400" t="str">
        <f>"14062319890310202X"</f>
        <v>14062319890310202X</v>
      </c>
      <c r="D6400" t="str">
        <f>"248030102012"</f>
        <v>248030102012</v>
      </c>
      <c r="L6400">
        <v>8180</v>
      </c>
      <c r="M6400" t="s">
        <v>6646</v>
      </c>
      <c r="N6400" t="str">
        <f>"248030102012"</f>
        <v>248030102012</v>
      </c>
      <c r="O6400" t="str">
        <f>"14062319890310202X"</f>
        <v>14062319890310202X</v>
      </c>
    </row>
    <row r="6401" customFormat="1" spans="1:15">
      <c r="A6401">
        <v>8182</v>
      </c>
      <c r="B6401" t="s">
        <v>6647</v>
      </c>
      <c r="C6401" t="str">
        <f>"130702199701020946"</f>
        <v>130702199701020946</v>
      </c>
      <c r="D6401" t="str">
        <f>"248030401016"</f>
        <v>248030401016</v>
      </c>
      <c r="L6401">
        <v>8182</v>
      </c>
      <c r="M6401" t="s">
        <v>6647</v>
      </c>
      <c r="N6401" t="str">
        <f>"248030401016"</f>
        <v>248030401016</v>
      </c>
      <c r="O6401" t="str">
        <f>"130702199701020946"</f>
        <v>130702199701020946</v>
      </c>
    </row>
    <row r="6402" customFormat="1" spans="1:15">
      <c r="A6402">
        <v>8183</v>
      </c>
      <c r="B6402" t="s">
        <v>6648</v>
      </c>
      <c r="C6402" t="str">
        <f>"460004199803220827"</f>
        <v>460004199803220827</v>
      </c>
      <c r="L6402">
        <v>8183</v>
      </c>
      <c r="M6402" t="s">
        <v>6648</v>
      </c>
      <c r="O6402" t="str">
        <f>"460004199803220827"</f>
        <v>460004199803220827</v>
      </c>
    </row>
    <row r="6403" customFormat="1" spans="1:15">
      <c r="A6403">
        <v>8185</v>
      </c>
      <c r="B6403" t="s">
        <v>6649</v>
      </c>
      <c r="C6403" t="str">
        <f>"513701199905124621"</f>
        <v>513701199905124621</v>
      </c>
      <c r="D6403" t="str">
        <f>"248030400814"</f>
        <v>248030400814</v>
      </c>
      <c r="L6403">
        <v>8185</v>
      </c>
      <c r="M6403" t="s">
        <v>6649</v>
      </c>
      <c r="N6403" t="str">
        <f>"248030400814"</f>
        <v>248030400814</v>
      </c>
      <c r="O6403" t="str">
        <f>"513701199905124621"</f>
        <v>513701199905124621</v>
      </c>
    </row>
    <row r="6404" customFormat="1" spans="1:15">
      <c r="A6404">
        <v>8186</v>
      </c>
      <c r="B6404" t="s">
        <v>6650</v>
      </c>
      <c r="C6404" t="str">
        <f>"460006200303095247"</f>
        <v>460006200303095247</v>
      </c>
      <c r="D6404" t="str">
        <f>"248030103902"</f>
        <v>248030103902</v>
      </c>
      <c r="L6404">
        <v>8186</v>
      </c>
      <c r="M6404" t="s">
        <v>6650</v>
      </c>
      <c r="N6404" t="str">
        <f>"248030103902"</f>
        <v>248030103902</v>
      </c>
      <c r="O6404" t="str">
        <f>"460006200303095247"</f>
        <v>460006200303095247</v>
      </c>
    </row>
    <row r="6405" customFormat="1" spans="1:15">
      <c r="A6405">
        <v>8187</v>
      </c>
      <c r="B6405" t="s">
        <v>6651</v>
      </c>
      <c r="C6405" t="str">
        <f>"46010419991001002X"</f>
        <v>46010419991001002X</v>
      </c>
      <c r="D6405" t="str">
        <f>"248030101521"</f>
        <v>248030101521</v>
      </c>
      <c r="L6405">
        <v>8187</v>
      </c>
      <c r="M6405" t="s">
        <v>6651</v>
      </c>
      <c r="N6405" t="str">
        <f>"248030101521"</f>
        <v>248030101521</v>
      </c>
      <c r="O6405" t="str">
        <f>"46010419991001002X"</f>
        <v>46010419991001002X</v>
      </c>
    </row>
    <row r="6406" customFormat="1" spans="1:15">
      <c r="A6406">
        <v>8189</v>
      </c>
      <c r="B6406" t="s">
        <v>6652</v>
      </c>
      <c r="C6406" t="str">
        <f>"370302200009030046"</f>
        <v>370302200009030046</v>
      </c>
      <c r="L6406">
        <v>8189</v>
      </c>
      <c r="M6406" t="s">
        <v>6652</v>
      </c>
      <c r="O6406" t="str">
        <f>"370302200009030046"</f>
        <v>370302200009030046</v>
      </c>
    </row>
    <row r="6407" customFormat="1" spans="1:15">
      <c r="A6407">
        <v>8193</v>
      </c>
      <c r="B6407" t="s">
        <v>6653</v>
      </c>
      <c r="C6407" t="str">
        <f>"460005199912240022"</f>
        <v>460005199912240022</v>
      </c>
      <c r="D6407" t="str">
        <f>"248030400902"</f>
        <v>248030400902</v>
      </c>
      <c r="L6407">
        <v>8193</v>
      </c>
      <c r="M6407" t="s">
        <v>6653</v>
      </c>
      <c r="N6407" t="str">
        <f>"248030400902"</f>
        <v>248030400902</v>
      </c>
      <c r="O6407" t="str">
        <f>"460005199912240022"</f>
        <v>460005199912240022</v>
      </c>
    </row>
    <row r="6408" customFormat="1" spans="1:15">
      <c r="A6408">
        <v>8194</v>
      </c>
      <c r="B6408" t="s">
        <v>6654</v>
      </c>
      <c r="C6408" t="str">
        <f>"460028199511216827"</f>
        <v>460028199511216827</v>
      </c>
      <c r="D6408" t="str">
        <f>"248030101107"</f>
        <v>248030101107</v>
      </c>
      <c r="L6408">
        <v>8194</v>
      </c>
      <c r="M6408" t="s">
        <v>6654</v>
      </c>
      <c r="N6408" t="str">
        <f>"248030101107"</f>
        <v>248030101107</v>
      </c>
      <c r="O6408" t="str">
        <f>"460028199511216827"</f>
        <v>460028199511216827</v>
      </c>
    </row>
    <row r="6409" customFormat="1" spans="1:15">
      <c r="A6409">
        <v>8195</v>
      </c>
      <c r="B6409" t="s">
        <v>6655</v>
      </c>
      <c r="C6409" t="str">
        <f>"46010319941016152X"</f>
        <v>46010319941016152X</v>
      </c>
      <c r="L6409">
        <v>8195</v>
      </c>
      <c r="M6409" t="s">
        <v>6655</v>
      </c>
      <c r="O6409" t="str">
        <f>"46010319941016152X"</f>
        <v>46010319941016152X</v>
      </c>
    </row>
    <row r="6410" customFormat="1" spans="1:15">
      <c r="A6410">
        <v>8196</v>
      </c>
      <c r="B6410" t="s">
        <v>43</v>
      </c>
      <c r="C6410" t="str">
        <f>"230802198609030724"</f>
        <v>230802198609030724</v>
      </c>
      <c r="D6410" t="str">
        <f>"248030400911"</f>
        <v>248030400911</v>
      </c>
      <c r="L6410">
        <v>8196</v>
      </c>
      <c r="M6410" t="s">
        <v>43</v>
      </c>
      <c r="N6410" t="str">
        <f>"248030400911"</f>
        <v>248030400911</v>
      </c>
      <c r="O6410" t="str">
        <f>"230802198609030724"</f>
        <v>230802198609030724</v>
      </c>
    </row>
    <row r="6411" customFormat="1" spans="1:15">
      <c r="A6411">
        <v>8199</v>
      </c>
      <c r="B6411" t="s">
        <v>6656</v>
      </c>
      <c r="C6411" t="str">
        <f>"460027199712180406"</f>
        <v>460027199712180406</v>
      </c>
      <c r="D6411" t="str">
        <f>"248030202916"</f>
        <v>248030202916</v>
      </c>
      <c r="L6411">
        <v>8199</v>
      </c>
      <c r="M6411" t="s">
        <v>6656</v>
      </c>
      <c r="N6411" t="str">
        <f>"248030202916"</f>
        <v>248030202916</v>
      </c>
      <c r="O6411" t="str">
        <f>"460027199712180406"</f>
        <v>460027199712180406</v>
      </c>
    </row>
    <row r="6412" customFormat="1" spans="1:15">
      <c r="A6412">
        <v>8200</v>
      </c>
      <c r="B6412" t="s">
        <v>6657</v>
      </c>
      <c r="C6412" t="str">
        <f>"441226199609214323"</f>
        <v>441226199609214323</v>
      </c>
      <c r="D6412" t="str">
        <f>"248030500725"</f>
        <v>248030500725</v>
      </c>
      <c r="L6412">
        <v>8200</v>
      </c>
      <c r="M6412" t="s">
        <v>6657</v>
      </c>
      <c r="N6412" t="str">
        <f>"248030500725"</f>
        <v>248030500725</v>
      </c>
      <c r="O6412" t="str">
        <f>"441226199609214323"</f>
        <v>441226199609214323</v>
      </c>
    </row>
    <row r="6413" customFormat="1" spans="1:15">
      <c r="A6413">
        <v>8201</v>
      </c>
      <c r="B6413" t="s">
        <v>48</v>
      </c>
      <c r="C6413" t="str">
        <f>"362330199401052418"</f>
        <v>362330199401052418</v>
      </c>
      <c r="D6413" t="str">
        <f>"248030301530"</f>
        <v>248030301530</v>
      </c>
      <c r="L6413">
        <v>8201</v>
      </c>
      <c r="M6413" t="s">
        <v>48</v>
      </c>
      <c r="N6413" t="str">
        <f>"248030301530"</f>
        <v>248030301530</v>
      </c>
      <c r="O6413" t="str">
        <f>"362330199401052418"</f>
        <v>362330199401052418</v>
      </c>
    </row>
    <row r="6414" customFormat="1" spans="1:15">
      <c r="A6414">
        <v>8202</v>
      </c>
      <c r="B6414" t="s">
        <v>187</v>
      </c>
      <c r="C6414" t="str">
        <f>"460030199908291229"</f>
        <v>460030199908291229</v>
      </c>
      <c r="D6414" t="str">
        <f>"248030501217"</f>
        <v>248030501217</v>
      </c>
      <c r="L6414">
        <v>8202</v>
      </c>
      <c r="M6414" t="s">
        <v>187</v>
      </c>
      <c r="N6414" t="str">
        <f>"248030501217"</f>
        <v>248030501217</v>
      </c>
      <c r="O6414" t="str">
        <f>"460030199908291229"</f>
        <v>460030199908291229</v>
      </c>
    </row>
    <row r="6415" customFormat="1" spans="1:15">
      <c r="A6415">
        <v>8204</v>
      </c>
      <c r="B6415" t="s">
        <v>6658</v>
      </c>
      <c r="C6415" t="str">
        <f>"460003199503154622"</f>
        <v>460003199503154622</v>
      </c>
      <c r="L6415">
        <v>8204</v>
      </c>
      <c r="M6415" t="s">
        <v>6658</v>
      </c>
      <c r="O6415" t="str">
        <f>"460003199503154622"</f>
        <v>460003199503154622</v>
      </c>
    </row>
    <row r="6416" customFormat="1" spans="1:15">
      <c r="A6416">
        <v>8205</v>
      </c>
      <c r="B6416" t="s">
        <v>6659</v>
      </c>
      <c r="C6416" t="str">
        <f>"460027199607085925"</f>
        <v>460027199607085925</v>
      </c>
      <c r="D6416" t="str">
        <f>"248030500608"</f>
        <v>248030500608</v>
      </c>
      <c r="L6416">
        <v>8205</v>
      </c>
      <c r="M6416" t="s">
        <v>6659</v>
      </c>
      <c r="N6416" t="str">
        <f>"248030500608"</f>
        <v>248030500608</v>
      </c>
      <c r="O6416" t="str">
        <f>"460027199607085925"</f>
        <v>460027199607085925</v>
      </c>
    </row>
    <row r="6417" customFormat="1" spans="1:15">
      <c r="A6417">
        <v>8206</v>
      </c>
      <c r="B6417" t="s">
        <v>546</v>
      </c>
      <c r="C6417" t="str">
        <f>"460028199811290025"</f>
        <v>460028199811290025</v>
      </c>
      <c r="D6417" t="str">
        <f>"248030203607"</f>
        <v>248030203607</v>
      </c>
      <c r="L6417">
        <v>8206</v>
      </c>
      <c r="M6417" t="s">
        <v>546</v>
      </c>
      <c r="N6417" t="str">
        <f>"248030203607"</f>
        <v>248030203607</v>
      </c>
      <c r="O6417" t="str">
        <f>"460028199811290025"</f>
        <v>460028199811290025</v>
      </c>
    </row>
    <row r="6418" customFormat="1" spans="1:15">
      <c r="A6418">
        <v>8207</v>
      </c>
      <c r="B6418" t="s">
        <v>6660</v>
      </c>
      <c r="C6418" t="str">
        <f>"460027198902133737"</f>
        <v>460027198902133737</v>
      </c>
      <c r="D6418" t="str">
        <f>"248030301101"</f>
        <v>248030301101</v>
      </c>
      <c r="L6418">
        <v>8207</v>
      </c>
      <c r="M6418" t="s">
        <v>6660</v>
      </c>
      <c r="N6418" t="str">
        <f>"248030301101"</f>
        <v>248030301101</v>
      </c>
      <c r="O6418" t="str">
        <f>"460027198902133737"</f>
        <v>460027198902133737</v>
      </c>
    </row>
    <row r="6419" customFormat="1" spans="1:15">
      <c r="A6419">
        <v>8208</v>
      </c>
      <c r="B6419" t="s">
        <v>6661</v>
      </c>
      <c r="C6419" t="str">
        <f>"231026200002184629"</f>
        <v>231026200002184629</v>
      </c>
      <c r="D6419" t="str">
        <f>"248030401606"</f>
        <v>248030401606</v>
      </c>
      <c r="L6419">
        <v>8208</v>
      </c>
      <c r="M6419" t="s">
        <v>6661</v>
      </c>
      <c r="N6419" t="str">
        <f>"248030401606"</f>
        <v>248030401606</v>
      </c>
      <c r="O6419" t="str">
        <f>"231026200002184629"</f>
        <v>231026200002184629</v>
      </c>
    </row>
    <row r="6420" customFormat="1" spans="1:15">
      <c r="A6420">
        <v>8209</v>
      </c>
      <c r="B6420" t="s">
        <v>6662</v>
      </c>
      <c r="C6420" t="str">
        <f>"460028200111094029"</f>
        <v>460028200111094029</v>
      </c>
      <c r="D6420" t="str">
        <f>"248030301014"</f>
        <v>248030301014</v>
      </c>
      <c r="L6420">
        <v>8209</v>
      </c>
      <c r="M6420" t="s">
        <v>6662</v>
      </c>
      <c r="N6420" t="str">
        <f>"248030301014"</f>
        <v>248030301014</v>
      </c>
      <c r="O6420" t="str">
        <f>"460028200111094029"</f>
        <v>460028200111094029</v>
      </c>
    </row>
    <row r="6421" customFormat="1" spans="1:15">
      <c r="A6421">
        <v>8210</v>
      </c>
      <c r="B6421" t="s">
        <v>6663</v>
      </c>
      <c r="C6421" t="str">
        <f>"460022199510051225"</f>
        <v>460022199510051225</v>
      </c>
      <c r="L6421">
        <v>8210</v>
      </c>
      <c r="M6421" t="s">
        <v>6663</v>
      </c>
      <c r="O6421" t="str">
        <f>"460022199510051225"</f>
        <v>460022199510051225</v>
      </c>
    </row>
    <row r="6422" customFormat="1" spans="1:15">
      <c r="A6422">
        <v>8211</v>
      </c>
      <c r="B6422" t="s">
        <v>6664</v>
      </c>
      <c r="C6422" t="str">
        <f>"460102200101302121"</f>
        <v>460102200101302121</v>
      </c>
      <c r="D6422" t="str">
        <f>"248030100316"</f>
        <v>248030100316</v>
      </c>
      <c r="L6422">
        <v>8211</v>
      </c>
      <c r="M6422" t="s">
        <v>6664</v>
      </c>
      <c r="N6422" t="str">
        <f>"248030100316"</f>
        <v>248030100316</v>
      </c>
      <c r="O6422" t="str">
        <f>"460102200101302121"</f>
        <v>460102200101302121</v>
      </c>
    </row>
    <row r="6423" customFormat="1" spans="1:15">
      <c r="A6423">
        <v>8214</v>
      </c>
      <c r="B6423" t="s">
        <v>6665</v>
      </c>
      <c r="C6423" t="str">
        <f>"140225199104280108"</f>
        <v>140225199104280108</v>
      </c>
      <c r="L6423">
        <v>8214</v>
      </c>
      <c r="M6423" t="s">
        <v>6665</v>
      </c>
      <c r="O6423" t="str">
        <f>"140225199104280108"</f>
        <v>140225199104280108</v>
      </c>
    </row>
    <row r="6424" customFormat="1" spans="1:15">
      <c r="A6424">
        <v>8215</v>
      </c>
      <c r="B6424" t="s">
        <v>6666</v>
      </c>
      <c r="C6424" t="str">
        <f>"372901199906237226"</f>
        <v>372901199906237226</v>
      </c>
      <c r="D6424" t="str">
        <f>"248030302106"</f>
        <v>248030302106</v>
      </c>
      <c r="L6424">
        <v>8215</v>
      </c>
      <c r="M6424" t="s">
        <v>6666</v>
      </c>
      <c r="N6424" t="str">
        <f>"248030302106"</f>
        <v>248030302106</v>
      </c>
      <c r="O6424" t="str">
        <f>"372901199906237226"</f>
        <v>372901199906237226</v>
      </c>
    </row>
    <row r="6425" customFormat="1" spans="1:15">
      <c r="A6425">
        <v>8216</v>
      </c>
      <c r="B6425" t="s">
        <v>6667</v>
      </c>
      <c r="C6425" t="str">
        <f>"460003200111084181"</f>
        <v>460003200111084181</v>
      </c>
      <c r="D6425" t="str">
        <f>"248030102718"</f>
        <v>248030102718</v>
      </c>
      <c r="L6425">
        <v>8216</v>
      </c>
      <c r="M6425" t="s">
        <v>6667</v>
      </c>
      <c r="N6425" t="str">
        <f>"248030102718"</f>
        <v>248030102718</v>
      </c>
      <c r="O6425" t="str">
        <f>"460003200111084181"</f>
        <v>460003200111084181</v>
      </c>
    </row>
    <row r="6426" customFormat="1" spans="1:15">
      <c r="A6426">
        <v>8217</v>
      </c>
      <c r="B6426" t="s">
        <v>6668</v>
      </c>
      <c r="C6426" t="str">
        <f>"410105200007210132"</f>
        <v>410105200007210132</v>
      </c>
      <c r="L6426">
        <v>8217</v>
      </c>
      <c r="M6426" t="s">
        <v>6668</v>
      </c>
      <c r="O6426" t="str">
        <f>"410105200007210132"</f>
        <v>410105200007210132</v>
      </c>
    </row>
    <row r="6427" customFormat="1" spans="1:15">
      <c r="A6427">
        <v>8221</v>
      </c>
      <c r="B6427" t="s">
        <v>6669</v>
      </c>
      <c r="C6427" t="str">
        <f>"460003200007027224"</f>
        <v>460003200007027224</v>
      </c>
      <c r="D6427" t="str">
        <f>"248030101329"</f>
        <v>248030101329</v>
      </c>
      <c r="L6427">
        <v>8221</v>
      </c>
      <c r="M6427" t="s">
        <v>6669</v>
      </c>
      <c r="N6427" t="str">
        <f>"248030101329"</f>
        <v>248030101329</v>
      </c>
      <c r="O6427" t="str">
        <f>"460003200007027224"</f>
        <v>460003200007027224</v>
      </c>
    </row>
    <row r="6428" customFormat="1" spans="1:15">
      <c r="A6428">
        <v>8224</v>
      </c>
      <c r="B6428" t="s">
        <v>6670</v>
      </c>
      <c r="C6428" t="str">
        <f>"460033200205294823"</f>
        <v>460033200205294823</v>
      </c>
      <c r="D6428" t="str">
        <f>"248030502821"</f>
        <v>248030502821</v>
      </c>
      <c r="L6428">
        <v>8224</v>
      </c>
      <c r="M6428" t="s">
        <v>6670</v>
      </c>
      <c r="N6428" t="str">
        <f>"248030502821"</f>
        <v>248030502821</v>
      </c>
      <c r="O6428" t="str">
        <f>"460033200205294823"</f>
        <v>460033200205294823</v>
      </c>
    </row>
    <row r="6429" customFormat="1" spans="1:15">
      <c r="A6429">
        <v>8225</v>
      </c>
      <c r="B6429" t="s">
        <v>6671</v>
      </c>
      <c r="C6429" t="str">
        <f>"460004199204053828"</f>
        <v>460004199204053828</v>
      </c>
      <c r="D6429" t="str">
        <f>"248030404225"</f>
        <v>248030404225</v>
      </c>
      <c r="L6429">
        <v>8225</v>
      </c>
      <c r="M6429" t="s">
        <v>6671</v>
      </c>
      <c r="N6429" t="str">
        <f>"248030404225"</f>
        <v>248030404225</v>
      </c>
      <c r="O6429" t="str">
        <f>"460004199204053828"</f>
        <v>460004199204053828</v>
      </c>
    </row>
    <row r="6430" customFormat="1" spans="1:15">
      <c r="A6430">
        <v>8226</v>
      </c>
      <c r="B6430" t="s">
        <v>6672</v>
      </c>
      <c r="C6430" t="str">
        <f>"460004199804233638"</f>
        <v>460004199804233638</v>
      </c>
      <c r="D6430" t="str">
        <f>"248030201704"</f>
        <v>248030201704</v>
      </c>
      <c r="L6430">
        <v>8226</v>
      </c>
      <c r="M6430" t="s">
        <v>6672</v>
      </c>
      <c r="N6430" t="str">
        <f>"248030201704"</f>
        <v>248030201704</v>
      </c>
      <c r="O6430" t="str">
        <f>"460004199804233638"</f>
        <v>460004199804233638</v>
      </c>
    </row>
    <row r="6431" customFormat="1" spans="1:15">
      <c r="A6431">
        <v>8227</v>
      </c>
      <c r="B6431" t="s">
        <v>6673</v>
      </c>
      <c r="C6431" t="str">
        <f>"210304200002220822"</f>
        <v>210304200002220822</v>
      </c>
      <c r="L6431">
        <v>8227</v>
      </c>
      <c r="M6431" t="s">
        <v>6673</v>
      </c>
      <c r="O6431" t="str">
        <f>"210304200002220822"</f>
        <v>210304200002220822</v>
      </c>
    </row>
    <row r="6432" customFormat="1" spans="1:15">
      <c r="A6432">
        <v>8229</v>
      </c>
      <c r="B6432" t="s">
        <v>6674</v>
      </c>
      <c r="C6432" t="str">
        <f>"460003199602180025"</f>
        <v>460003199602180025</v>
      </c>
      <c r="D6432" t="str">
        <f>"248030404307"</f>
        <v>248030404307</v>
      </c>
      <c r="L6432">
        <v>8229</v>
      </c>
      <c r="M6432" t="s">
        <v>6674</v>
      </c>
      <c r="N6432" t="str">
        <f>"248030404307"</f>
        <v>248030404307</v>
      </c>
      <c r="O6432" t="str">
        <f>"460003199602180025"</f>
        <v>460003199602180025</v>
      </c>
    </row>
    <row r="6433" customFormat="1" spans="1:15">
      <c r="A6433">
        <v>8230</v>
      </c>
      <c r="B6433" t="s">
        <v>6675</v>
      </c>
      <c r="C6433" t="str">
        <f>"460200199501043840"</f>
        <v>460200199501043840</v>
      </c>
      <c r="L6433">
        <v>8230</v>
      </c>
      <c r="M6433" t="s">
        <v>6675</v>
      </c>
      <c r="O6433" t="str">
        <f>"460200199501043840"</f>
        <v>460200199501043840</v>
      </c>
    </row>
    <row r="6434" customFormat="1" spans="1:15">
      <c r="A6434">
        <v>8231</v>
      </c>
      <c r="B6434" t="s">
        <v>6676</v>
      </c>
      <c r="C6434" t="str">
        <f>"460026199508120020"</f>
        <v>460026199508120020</v>
      </c>
      <c r="D6434" t="str">
        <f>"248030202503"</f>
        <v>248030202503</v>
      </c>
      <c r="L6434">
        <v>8231</v>
      </c>
      <c r="M6434" t="s">
        <v>6676</v>
      </c>
      <c r="N6434" t="str">
        <f>"248030202503"</f>
        <v>248030202503</v>
      </c>
      <c r="O6434" t="str">
        <f>"460026199508120020"</f>
        <v>460026199508120020</v>
      </c>
    </row>
    <row r="6435" customFormat="1" spans="1:15">
      <c r="A6435">
        <v>8232</v>
      </c>
      <c r="B6435" t="s">
        <v>6677</v>
      </c>
      <c r="C6435" t="str">
        <f>"460004199612251030"</f>
        <v>460004199612251030</v>
      </c>
      <c r="D6435" t="str">
        <f>"248030201112"</f>
        <v>248030201112</v>
      </c>
      <c r="L6435">
        <v>8232</v>
      </c>
      <c r="M6435" t="s">
        <v>6677</v>
      </c>
      <c r="N6435" t="str">
        <f>"248030201112"</f>
        <v>248030201112</v>
      </c>
      <c r="O6435" t="str">
        <f>"460004199612251030"</f>
        <v>460004199612251030</v>
      </c>
    </row>
    <row r="6436" customFormat="1" spans="1:15">
      <c r="A6436">
        <v>8233</v>
      </c>
      <c r="B6436" t="s">
        <v>6678</v>
      </c>
      <c r="C6436" t="str">
        <f>"46003319940122486X"</f>
        <v>46003319940122486X</v>
      </c>
      <c r="D6436" t="str">
        <f>"248030501206"</f>
        <v>248030501206</v>
      </c>
      <c r="L6436">
        <v>8233</v>
      </c>
      <c r="M6436" t="s">
        <v>6678</v>
      </c>
      <c r="N6436" t="str">
        <f>"248030501206"</f>
        <v>248030501206</v>
      </c>
      <c r="O6436" t="str">
        <f>"46003319940122486X"</f>
        <v>46003319940122486X</v>
      </c>
    </row>
    <row r="6437" customFormat="1" spans="1:15">
      <c r="A6437">
        <v>8234</v>
      </c>
      <c r="B6437" t="s">
        <v>6679</v>
      </c>
      <c r="C6437" t="str">
        <f>"460003200004052619"</f>
        <v>460003200004052619</v>
      </c>
      <c r="D6437" t="str">
        <f>"248030202313"</f>
        <v>248030202313</v>
      </c>
      <c r="L6437">
        <v>8234</v>
      </c>
      <c r="M6437" t="s">
        <v>6679</v>
      </c>
      <c r="N6437" t="str">
        <f>"248030202313"</f>
        <v>248030202313</v>
      </c>
      <c r="O6437" t="str">
        <f>"460003200004052619"</f>
        <v>460003200004052619</v>
      </c>
    </row>
    <row r="6438" customFormat="1" spans="1:15">
      <c r="A6438">
        <v>8235</v>
      </c>
      <c r="B6438" t="s">
        <v>6680</v>
      </c>
      <c r="C6438" t="str">
        <f>"460004199610134025"</f>
        <v>460004199610134025</v>
      </c>
      <c r="L6438">
        <v>8235</v>
      </c>
      <c r="M6438" t="s">
        <v>6680</v>
      </c>
      <c r="O6438" t="str">
        <f>"460004199610134025"</f>
        <v>460004199610134025</v>
      </c>
    </row>
    <row r="6439" customFormat="1" spans="1:15">
      <c r="A6439">
        <v>8236</v>
      </c>
      <c r="B6439" t="s">
        <v>6681</v>
      </c>
      <c r="C6439" t="str">
        <f>"460200200110230273"</f>
        <v>460200200110230273</v>
      </c>
      <c r="D6439" t="str">
        <f>"248030301203"</f>
        <v>248030301203</v>
      </c>
      <c r="L6439">
        <v>8236</v>
      </c>
      <c r="M6439" t="s">
        <v>6681</v>
      </c>
      <c r="N6439" t="str">
        <f>"248030301203"</f>
        <v>248030301203</v>
      </c>
      <c r="O6439" t="str">
        <f>"460200200110230273"</f>
        <v>460200200110230273</v>
      </c>
    </row>
    <row r="6440" customFormat="1" spans="1:15">
      <c r="A6440">
        <v>8238</v>
      </c>
      <c r="B6440" t="s">
        <v>6682</v>
      </c>
      <c r="C6440" t="str">
        <f>"469005200106034324"</f>
        <v>469005200106034324</v>
      </c>
      <c r="D6440" t="str">
        <f>"248030302418"</f>
        <v>248030302418</v>
      </c>
      <c r="L6440">
        <v>8238</v>
      </c>
      <c r="M6440" t="s">
        <v>6682</v>
      </c>
      <c r="N6440" t="str">
        <f>"248030302418"</f>
        <v>248030302418</v>
      </c>
      <c r="O6440" t="str">
        <f>"469005200106034324"</f>
        <v>469005200106034324</v>
      </c>
    </row>
    <row r="6441" customFormat="1" spans="1:15">
      <c r="A6441">
        <v>8240</v>
      </c>
      <c r="B6441" t="s">
        <v>6683</v>
      </c>
      <c r="C6441" t="str">
        <f>"460001200005121716"</f>
        <v>460001200005121716</v>
      </c>
      <c r="L6441">
        <v>8240</v>
      </c>
      <c r="M6441" t="s">
        <v>6683</v>
      </c>
      <c r="O6441" t="str">
        <f>"460001200005121716"</f>
        <v>460001200005121716</v>
      </c>
    </row>
    <row r="6442" customFormat="1" spans="1:15">
      <c r="A6442">
        <v>8241</v>
      </c>
      <c r="B6442" t="s">
        <v>6684</v>
      </c>
      <c r="C6442" t="str">
        <f>"61040219991111122X"</f>
        <v>61040219991111122X</v>
      </c>
      <c r="D6442" t="str">
        <f>"248030500411"</f>
        <v>248030500411</v>
      </c>
      <c r="L6442">
        <v>8241</v>
      </c>
      <c r="M6442" t="s">
        <v>6684</v>
      </c>
      <c r="N6442" t="str">
        <f>"248030500411"</f>
        <v>248030500411</v>
      </c>
      <c r="O6442" t="str">
        <f>"61040219991111122X"</f>
        <v>61040219991111122X</v>
      </c>
    </row>
    <row r="6443" customFormat="1" spans="1:15">
      <c r="A6443">
        <v>8242</v>
      </c>
      <c r="B6443" t="s">
        <v>6685</v>
      </c>
      <c r="C6443" t="str">
        <f>"460300199408030020"</f>
        <v>460300199408030020</v>
      </c>
      <c r="D6443" t="str">
        <f>"248030104627"</f>
        <v>248030104627</v>
      </c>
      <c r="L6443">
        <v>8242</v>
      </c>
      <c r="M6443" t="s">
        <v>6685</v>
      </c>
      <c r="N6443" t="str">
        <f>"248030104627"</f>
        <v>248030104627</v>
      </c>
      <c r="O6443" t="str">
        <f>"460300199408030020"</f>
        <v>460300199408030020</v>
      </c>
    </row>
    <row r="6444" customFormat="1" spans="1:15">
      <c r="A6444">
        <v>8243</v>
      </c>
      <c r="B6444" t="s">
        <v>6686</v>
      </c>
      <c r="C6444" t="str">
        <f>"460027199312164714"</f>
        <v>460027199312164714</v>
      </c>
      <c r="L6444">
        <v>8243</v>
      </c>
      <c r="M6444" t="s">
        <v>6686</v>
      </c>
      <c r="O6444" t="str">
        <f>"460027199312164714"</f>
        <v>460027199312164714</v>
      </c>
    </row>
    <row r="6445" customFormat="1" spans="1:15">
      <c r="A6445">
        <v>8245</v>
      </c>
      <c r="B6445" t="s">
        <v>6687</v>
      </c>
      <c r="C6445" t="str">
        <f>"460102199311091523"</f>
        <v>460102199311091523</v>
      </c>
      <c r="L6445">
        <v>8245</v>
      </c>
      <c r="M6445" t="s">
        <v>6687</v>
      </c>
      <c r="O6445" t="str">
        <f>"460102199311091523"</f>
        <v>460102199311091523</v>
      </c>
    </row>
    <row r="6446" customFormat="1" spans="1:15">
      <c r="A6446">
        <v>8246</v>
      </c>
      <c r="B6446" t="s">
        <v>6688</v>
      </c>
      <c r="C6446" t="str">
        <f>"460107200111232325"</f>
        <v>460107200111232325</v>
      </c>
      <c r="D6446" t="str">
        <f>"248030300411"</f>
        <v>248030300411</v>
      </c>
      <c r="L6446">
        <v>8246</v>
      </c>
      <c r="M6446" t="s">
        <v>6688</v>
      </c>
      <c r="N6446" t="str">
        <f>"248030300411"</f>
        <v>248030300411</v>
      </c>
      <c r="O6446" t="str">
        <f>"460107200111232325"</f>
        <v>460107200111232325</v>
      </c>
    </row>
    <row r="6447" customFormat="1" spans="1:15">
      <c r="A6447">
        <v>8247</v>
      </c>
      <c r="B6447" t="s">
        <v>6689</v>
      </c>
      <c r="C6447" t="str">
        <f>"460026199911283911"</f>
        <v>460026199911283911</v>
      </c>
      <c r="D6447" t="str">
        <f>"248030203409"</f>
        <v>248030203409</v>
      </c>
      <c r="L6447">
        <v>8247</v>
      </c>
      <c r="M6447" t="s">
        <v>6689</v>
      </c>
      <c r="N6447" t="str">
        <f>"248030203409"</f>
        <v>248030203409</v>
      </c>
      <c r="O6447" t="str">
        <f>"460026199911283911"</f>
        <v>460026199911283911</v>
      </c>
    </row>
    <row r="6448" customFormat="1" spans="1:15">
      <c r="A6448">
        <v>8248</v>
      </c>
      <c r="B6448" t="s">
        <v>6690</v>
      </c>
      <c r="C6448" t="str">
        <f>"440903200109140020"</f>
        <v>440903200109140020</v>
      </c>
      <c r="D6448" t="str">
        <f>"248030302314"</f>
        <v>248030302314</v>
      </c>
      <c r="L6448">
        <v>8248</v>
      </c>
      <c r="M6448" t="s">
        <v>6690</v>
      </c>
      <c r="N6448" t="str">
        <f>"248030302314"</f>
        <v>248030302314</v>
      </c>
      <c r="O6448" t="str">
        <f>"440903200109140020"</f>
        <v>440903200109140020</v>
      </c>
    </row>
    <row r="6449" customFormat="1" spans="1:15">
      <c r="A6449">
        <v>8249</v>
      </c>
      <c r="B6449" t="s">
        <v>6691</v>
      </c>
      <c r="C6449" t="str">
        <f>"46902320000313662X"</f>
        <v>46902320000313662X</v>
      </c>
      <c r="D6449" t="str">
        <f>"248030202011"</f>
        <v>248030202011</v>
      </c>
      <c r="L6449">
        <v>8249</v>
      </c>
      <c r="M6449" t="s">
        <v>6691</v>
      </c>
      <c r="N6449" t="str">
        <f>"248030202011"</f>
        <v>248030202011</v>
      </c>
      <c r="O6449" t="str">
        <f>"46902320000313662X"</f>
        <v>46902320000313662X</v>
      </c>
    </row>
    <row r="6450" customFormat="1" spans="1:15">
      <c r="A6450">
        <v>8250</v>
      </c>
      <c r="B6450" t="s">
        <v>6692</v>
      </c>
      <c r="C6450" t="str">
        <f>"460028199903067613"</f>
        <v>460028199903067613</v>
      </c>
      <c r="L6450">
        <v>8250</v>
      </c>
      <c r="M6450" t="s">
        <v>6692</v>
      </c>
      <c r="O6450" t="str">
        <f>"460028199903067613"</f>
        <v>460028199903067613</v>
      </c>
    </row>
    <row r="6451" customFormat="1" spans="1:15">
      <c r="A6451">
        <v>8251</v>
      </c>
      <c r="B6451" t="s">
        <v>6693</v>
      </c>
      <c r="C6451" t="str">
        <f>"13070519970731002X"</f>
        <v>13070519970731002X</v>
      </c>
      <c r="D6451" t="str">
        <f>"248030202511"</f>
        <v>248030202511</v>
      </c>
      <c r="L6451">
        <v>8251</v>
      </c>
      <c r="M6451" t="s">
        <v>6693</v>
      </c>
      <c r="N6451" t="str">
        <f>"248030202511"</f>
        <v>248030202511</v>
      </c>
      <c r="O6451" t="str">
        <f>"13070519970731002X"</f>
        <v>13070519970731002X</v>
      </c>
    </row>
    <row r="6452" customFormat="1" spans="1:15">
      <c r="A6452">
        <v>8252</v>
      </c>
      <c r="B6452" t="s">
        <v>240</v>
      </c>
      <c r="C6452" t="str">
        <f>"460003199506077642"</f>
        <v>460003199506077642</v>
      </c>
      <c r="D6452" t="str">
        <f>"248030102406"</f>
        <v>248030102406</v>
      </c>
      <c r="L6452">
        <v>8252</v>
      </c>
      <c r="M6452" t="s">
        <v>240</v>
      </c>
      <c r="N6452" t="str">
        <f>"248030102406"</f>
        <v>248030102406</v>
      </c>
      <c r="O6452" t="str">
        <f>"460003199506077642"</f>
        <v>460003199506077642</v>
      </c>
    </row>
    <row r="6453" customFormat="1" spans="1:15">
      <c r="A6453">
        <v>8254</v>
      </c>
      <c r="B6453" t="s">
        <v>325</v>
      </c>
      <c r="C6453" t="str">
        <f>"460033200101258334"</f>
        <v>460033200101258334</v>
      </c>
      <c r="D6453" t="str">
        <f>"248030302029"</f>
        <v>248030302029</v>
      </c>
      <c r="L6453">
        <v>8254</v>
      </c>
      <c r="M6453" t="s">
        <v>325</v>
      </c>
      <c r="N6453" t="str">
        <f>"248030302029"</f>
        <v>248030302029</v>
      </c>
      <c r="O6453" t="str">
        <f>"460033200101258334"</f>
        <v>460033200101258334</v>
      </c>
    </row>
    <row r="6454" customFormat="1" spans="1:15">
      <c r="A6454">
        <v>8258</v>
      </c>
      <c r="B6454" t="s">
        <v>6694</v>
      </c>
      <c r="C6454" t="str">
        <f>"460102198703211227"</f>
        <v>460102198703211227</v>
      </c>
      <c r="L6454">
        <v>8258</v>
      </c>
      <c r="M6454" t="s">
        <v>6694</v>
      </c>
      <c r="O6454" t="str">
        <f>"460102198703211227"</f>
        <v>460102198703211227</v>
      </c>
    </row>
    <row r="6455" customFormat="1" spans="1:15">
      <c r="A6455">
        <v>8260</v>
      </c>
      <c r="B6455" t="s">
        <v>6695</v>
      </c>
      <c r="C6455" t="str">
        <f>"230623199510131838"</f>
        <v>230623199510131838</v>
      </c>
      <c r="D6455" t="str">
        <f>"248030102610"</f>
        <v>248030102610</v>
      </c>
      <c r="L6455">
        <v>8260</v>
      </c>
      <c r="M6455" t="s">
        <v>6695</v>
      </c>
      <c r="N6455" t="str">
        <f>"248030102610"</f>
        <v>248030102610</v>
      </c>
      <c r="O6455" t="str">
        <f>"230623199510131838"</f>
        <v>230623199510131838</v>
      </c>
    </row>
    <row r="6456" customFormat="1" spans="1:15">
      <c r="A6456">
        <v>8261</v>
      </c>
      <c r="B6456" t="s">
        <v>6696</v>
      </c>
      <c r="C6456" t="str">
        <f>"231124200106301319"</f>
        <v>231124200106301319</v>
      </c>
      <c r="D6456" t="str">
        <f>"248030201213"</f>
        <v>248030201213</v>
      </c>
      <c r="L6456">
        <v>8261</v>
      </c>
      <c r="M6456" t="s">
        <v>6696</v>
      </c>
      <c r="N6456" t="str">
        <f>"248030201213"</f>
        <v>248030201213</v>
      </c>
      <c r="O6456" t="str">
        <f>"231124200106301319"</f>
        <v>231124200106301319</v>
      </c>
    </row>
    <row r="6457" customFormat="1" spans="1:15">
      <c r="A6457">
        <v>8262</v>
      </c>
      <c r="B6457" t="s">
        <v>6697</v>
      </c>
      <c r="C6457" t="str">
        <f>"460103199502261827"</f>
        <v>460103199502261827</v>
      </c>
      <c r="D6457" t="str">
        <f>"248030202918"</f>
        <v>248030202918</v>
      </c>
      <c r="L6457">
        <v>8262</v>
      </c>
      <c r="M6457" t="s">
        <v>6697</v>
      </c>
      <c r="N6457" t="str">
        <f>"248030202918"</f>
        <v>248030202918</v>
      </c>
      <c r="O6457" t="str">
        <f>"460103199502261827"</f>
        <v>460103199502261827</v>
      </c>
    </row>
    <row r="6458" customFormat="1" spans="1:15">
      <c r="A6458">
        <v>8263</v>
      </c>
      <c r="B6458" t="s">
        <v>6698</v>
      </c>
      <c r="C6458" t="str">
        <f>"460200199102080548"</f>
        <v>460200199102080548</v>
      </c>
      <c r="D6458" t="str">
        <f>"248030301718"</f>
        <v>248030301718</v>
      </c>
      <c r="L6458">
        <v>8263</v>
      </c>
      <c r="M6458" t="s">
        <v>6698</v>
      </c>
      <c r="N6458" t="str">
        <f>"248030301718"</f>
        <v>248030301718</v>
      </c>
      <c r="O6458" t="str">
        <f>"460200199102080548"</f>
        <v>460200199102080548</v>
      </c>
    </row>
    <row r="6459" customFormat="1" spans="1:15">
      <c r="A6459">
        <v>8264</v>
      </c>
      <c r="B6459" t="s">
        <v>6699</v>
      </c>
      <c r="C6459" t="str">
        <f>"441602199908242616"</f>
        <v>441602199908242616</v>
      </c>
      <c r="L6459">
        <v>8264</v>
      </c>
      <c r="M6459" t="s">
        <v>6699</v>
      </c>
      <c r="O6459" t="str">
        <f>"441602199908242616"</f>
        <v>441602199908242616</v>
      </c>
    </row>
    <row r="6460" customFormat="1" spans="1:15">
      <c r="A6460">
        <v>8268</v>
      </c>
      <c r="B6460" t="s">
        <v>6700</v>
      </c>
      <c r="C6460" t="str">
        <f>"460006199405084033"</f>
        <v>460006199405084033</v>
      </c>
      <c r="D6460" t="str">
        <f>"248030300308"</f>
        <v>248030300308</v>
      </c>
      <c r="L6460">
        <v>8268</v>
      </c>
      <c r="M6460" t="s">
        <v>6700</v>
      </c>
      <c r="N6460" t="str">
        <f>"248030300308"</f>
        <v>248030300308</v>
      </c>
      <c r="O6460" t="str">
        <f>"460006199405084033"</f>
        <v>460006199405084033</v>
      </c>
    </row>
    <row r="6461" customFormat="1" spans="1:15">
      <c r="A6461">
        <v>8270</v>
      </c>
      <c r="B6461" t="s">
        <v>786</v>
      </c>
      <c r="C6461" t="str">
        <f>"150403199010103623"</f>
        <v>150403199010103623</v>
      </c>
      <c r="D6461" t="str">
        <f>"248030503226"</f>
        <v>248030503226</v>
      </c>
      <c r="L6461">
        <v>8270</v>
      </c>
      <c r="M6461" t="s">
        <v>786</v>
      </c>
      <c r="N6461" t="str">
        <f>"248030503226"</f>
        <v>248030503226</v>
      </c>
      <c r="O6461" t="str">
        <f>"150403199010103623"</f>
        <v>150403199010103623</v>
      </c>
    </row>
    <row r="6462" customFormat="1" spans="1:15">
      <c r="A6462">
        <v>8271</v>
      </c>
      <c r="B6462" t="s">
        <v>6701</v>
      </c>
      <c r="C6462" t="str">
        <f>"460028199711120045"</f>
        <v>460028199711120045</v>
      </c>
      <c r="D6462" t="str">
        <f>"248030101812"</f>
        <v>248030101812</v>
      </c>
      <c r="L6462">
        <v>8271</v>
      </c>
      <c r="M6462" t="s">
        <v>6701</v>
      </c>
      <c r="N6462" t="str">
        <f>"248030101812"</f>
        <v>248030101812</v>
      </c>
      <c r="O6462" t="str">
        <f>"460028199711120045"</f>
        <v>460028199711120045</v>
      </c>
    </row>
    <row r="6463" customFormat="1" spans="1:15">
      <c r="A6463">
        <v>8273</v>
      </c>
      <c r="B6463" t="s">
        <v>477</v>
      </c>
      <c r="C6463" t="str">
        <f>"460002200004125420"</f>
        <v>460002200004125420</v>
      </c>
      <c r="D6463" t="str">
        <f>"248030501207"</f>
        <v>248030501207</v>
      </c>
      <c r="L6463">
        <v>8273</v>
      </c>
      <c r="M6463" t="s">
        <v>477</v>
      </c>
      <c r="N6463" t="str">
        <f>"248030501207"</f>
        <v>248030501207</v>
      </c>
      <c r="O6463" t="str">
        <f>"460002200004125420"</f>
        <v>460002200004125420</v>
      </c>
    </row>
    <row r="6464" customFormat="1" spans="1:15">
      <c r="A6464">
        <v>8274</v>
      </c>
      <c r="B6464" t="s">
        <v>6702</v>
      </c>
      <c r="C6464" t="str">
        <f>"460200200108130302"</f>
        <v>460200200108130302</v>
      </c>
      <c r="L6464">
        <v>8274</v>
      </c>
      <c r="M6464" t="s">
        <v>6702</v>
      </c>
      <c r="O6464" t="str">
        <f>"460200200108130302"</f>
        <v>460200200108130302</v>
      </c>
    </row>
    <row r="6465" customFormat="1" spans="1:15">
      <c r="A6465">
        <v>8275</v>
      </c>
      <c r="B6465" t="s">
        <v>6703</v>
      </c>
      <c r="C6465" t="str">
        <f>"460033200108114480"</f>
        <v>460033200108114480</v>
      </c>
      <c r="D6465" t="str">
        <f>"248030103418"</f>
        <v>248030103418</v>
      </c>
      <c r="L6465">
        <v>8275</v>
      </c>
      <c r="M6465" t="s">
        <v>6703</v>
      </c>
      <c r="N6465" t="str">
        <f>"248030103418"</f>
        <v>248030103418</v>
      </c>
      <c r="O6465" t="str">
        <f>"460033200108114480"</f>
        <v>460033200108114480</v>
      </c>
    </row>
    <row r="6466" customFormat="1" spans="1:15">
      <c r="A6466">
        <v>8276</v>
      </c>
      <c r="B6466" t="s">
        <v>6704</v>
      </c>
      <c r="C6466" t="str">
        <f>"460004199612262821"</f>
        <v>460004199612262821</v>
      </c>
      <c r="L6466">
        <v>8276</v>
      </c>
      <c r="M6466" t="s">
        <v>6704</v>
      </c>
      <c r="O6466" t="str">
        <f>"460004199612262821"</f>
        <v>460004199612262821</v>
      </c>
    </row>
    <row r="6467" customFormat="1" spans="1:15">
      <c r="A6467">
        <v>8277</v>
      </c>
      <c r="B6467" t="s">
        <v>6705</v>
      </c>
      <c r="C6467" t="str">
        <f>"360302200203150517"</f>
        <v>360302200203150517</v>
      </c>
      <c r="D6467" t="str">
        <f>"248030203916"</f>
        <v>248030203916</v>
      </c>
      <c r="L6467">
        <v>8277</v>
      </c>
      <c r="M6467" t="s">
        <v>6705</v>
      </c>
      <c r="N6467" t="str">
        <f>"248030203916"</f>
        <v>248030203916</v>
      </c>
      <c r="O6467" t="str">
        <f>"360302200203150517"</f>
        <v>360302200203150517</v>
      </c>
    </row>
    <row r="6468" customFormat="1" spans="1:15">
      <c r="A6468">
        <v>8278</v>
      </c>
      <c r="B6468" t="s">
        <v>6706</v>
      </c>
      <c r="C6468" t="str">
        <f>"46002720020228661X"</f>
        <v>46002720020228661X</v>
      </c>
      <c r="D6468" t="str">
        <f>"248030201228"</f>
        <v>248030201228</v>
      </c>
      <c r="L6468">
        <v>8278</v>
      </c>
      <c r="M6468" t="s">
        <v>6706</v>
      </c>
      <c r="N6468" t="str">
        <f>"248030201228"</f>
        <v>248030201228</v>
      </c>
      <c r="O6468" t="str">
        <f>"46002720020228661X"</f>
        <v>46002720020228661X</v>
      </c>
    </row>
    <row r="6469" customFormat="1" spans="1:15">
      <c r="A6469">
        <v>8279</v>
      </c>
      <c r="B6469" t="s">
        <v>6707</v>
      </c>
      <c r="C6469" t="str">
        <f>"460006199912198123"</f>
        <v>460006199912198123</v>
      </c>
      <c r="D6469" t="str">
        <f>"248030403905"</f>
        <v>248030403905</v>
      </c>
      <c r="L6469">
        <v>8279</v>
      </c>
      <c r="M6469" t="s">
        <v>6707</v>
      </c>
      <c r="N6469" t="str">
        <f>"248030403905"</f>
        <v>248030403905</v>
      </c>
      <c r="O6469" t="str">
        <f>"460006199912198123"</f>
        <v>460006199912198123</v>
      </c>
    </row>
    <row r="6470" customFormat="1" spans="1:15">
      <c r="A6470">
        <v>8280</v>
      </c>
      <c r="B6470" t="s">
        <v>6708</v>
      </c>
      <c r="C6470" t="str">
        <f>"460105200106127122"</f>
        <v>460105200106127122</v>
      </c>
      <c r="D6470" t="str">
        <f>"248030302403"</f>
        <v>248030302403</v>
      </c>
      <c r="L6470">
        <v>8280</v>
      </c>
      <c r="M6470" t="s">
        <v>6708</v>
      </c>
      <c r="N6470" t="str">
        <f>"248030302403"</f>
        <v>248030302403</v>
      </c>
      <c r="O6470" t="str">
        <f>"460105200106127122"</f>
        <v>460105200106127122</v>
      </c>
    </row>
    <row r="6471" customFormat="1" spans="1:15">
      <c r="A6471">
        <v>8281</v>
      </c>
      <c r="B6471" t="s">
        <v>6709</v>
      </c>
      <c r="C6471" t="str">
        <f>"460003199606284040"</f>
        <v>460003199606284040</v>
      </c>
      <c r="D6471" t="str">
        <f>"248030100616"</f>
        <v>248030100616</v>
      </c>
      <c r="L6471">
        <v>8281</v>
      </c>
      <c r="M6471" t="s">
        <v>6709</v>
      </c>
      <c r="N6471" t="str">
        <f>"248030100616"</f>
        <v>248030100616</v>
      </c>
      <c r="O6471" t="str">
        <f>"460003199606284040"</f>
        <v>460003199606284040</v>
      </c>
    </row>
    <row r="6472" customFormat="1" spans="1:15">
      <c r="A6472">
        <v>8282</v>
      </c>
      <c r="B6472" t="s">
        <v>6710</v>
      </c>
      <c r="C6472" t="str">
        <f>"460003199707012888"</f>
        <v>460003199707012888</v>
      </c>
      <c r="L6472">
        <v>8282</v>
      </c>
      <c r="M6472" t="s">
        <v>6710</v>
      </c>
      <c r="O6472" t="str">
        <f>"460003199707012888"</f>
        <v>460003199707012888</v>
      </c>
    </row>
    <row r="6473" customFormat="1" spans="1:15">
      <c r="A6473">
        <v>8283</v>
      </c>
      <c r="B6473" t="s">
        <v>6711</v>
      </c>
      <c r="C6473" t="str">
        <f>"411325200106010440"</f>
        <v>411325200106010440</v>
      </c>
      <c r="D6473" t="str">
        <f>"248030401108"</f>
        <v>248030401108</v>
      </c>
      <c r="L6473">
        <v>8283</v>
      </c>
      <c r="M6473" t="s">
        <v>6711</v>
      </c>
      <c r="N6473" t="str">
        <f>"248030401108"</f>
        <v>248030401108</v>
      </c>
      <c r="O6473" t="str">
        <f>"411325200106010440"</f>
        <v>411325200106010440</v>
      </c>
    </row>
    <row r="6474" customFormat="1" spans="1:15">
      <c r="A6474">
        <v>8286</v>
      </c>
      <c r="B6474" t="s">
        <v>6712</v>
      </c>
      <c r="C6474" t="str">
        <f>"460027200211011335"</f>
        <v>460027200211011335</v>
      </c>
      <c r="D6474" t="str">
        <f>"248030201407"</f>
        <v>248030201407</v>
      </c>
      <c r="L6474">
        <v>8286</v>
      </c>
      <c r="M6474" t="s">
        <v>6712</v>
      </c>
      <c r="N6474" t="str">
        <f>"248030201407"</f>
        <v>248030201407</v>
      </c>
      <c r="O6474" t="str">
        <f>"460027200211011335"</f>
        <v>460027200211011335</v>
      </c>
    </row>
    <row r="6475" customFormat="1" spans="1:15">
      <c r="A6475">
        <v>8287</v>
      </c>
      <c r="B6475" t="s">
        <v>6713</v>
      </c>
      <c r="C6475" t="str">
        <f>"430681198402066748"</f>
        <v>430681198402066748</v>
      </c>
      <c r="L6475">
        <v>8287</v>
      </c>
      <c r="M6475" t="s">
        <v>6713</v>
      </c>
      <c r="O6475" t="str">
        <f>"430681198402066748"</f>
        <v>430681198402066748</v>
      </c>
    </row>
    <row r="6476" customFormat="1" spans="1:15">
      <c r="A6476">
        <v>8288</v>
      </c>
      <c r="B6476" t="s">
        <v>6714</v>
      </c>
      <c r="C6476" t="str">
        <f>"440883199512105023"</f>
        <v>440883199512105023</v>
      </c>
      <c r="D6476" t="str">
        <f>"248030503416"</f>
        <v>248030503416</v>
      </c>
      <c r="L6476">
        <v>8288</v>
      </c>
      <c r="M6476" t="s">
        <v>6714</v>
      </c>
      <c r="N6476" t="str">
        <f>"248030503416"</f>
        <v>248030503416</v>
      </c>
      <c r="O6476" t="str">
        <f>"440883199512105023"</f>
        <v>440883199512105023</v>
      </c>
    </row>
    <row r="6477" customFormat="1" spans="1:15">
      <c r="A6477">
        <v>8289</v>
      </c>
      <c r="B6477" t="s">
        <v>6715</v>
      </c>
      <c r="C6477" t="str">
        <f>"469006200107282027"</f>
        <v>469006200107282027</v>
      </c>
      <c r="D6477" t="str">
        <f>"248030501026"</f>
        <v>248030501026</v>
      </c>
      <c r="L6477">
        <v>8289</v>
      </c>
      <c r="M6477" t="s">
        <v>6715</v>
      </c>
      <c r="N6477" t="str">
        <f>"248030501026"</f>
        <v>248030501026</v>
      </c>
      <c r="O6477" t="str">
        <f>"469006200107282027"</f>
        <v>469006200107282027</v>
      </c>
    </row>
    <row r="6478" customFormat="1" spans="1:15">
      <c r="A6478">
        <v>8291</v>
      </c>
      <c r="B6478" t="s">
        <v>6716</v>
      </c>
      <c r="C6478" t="str">
        <f>"46002219910830452X"</f>
        <v>46002219910830452X</v>
      </c>
      <c r="D6478" t="str">
        <f>"248030302708"</f>
        <v>248030302708</v>
      </c>
      <c r="L6478">
        <v>8291</v>
      </c>
      <c r="M6478" t="s">
        <v>6716</v>
      </c>
      <c r="N6478" t="str">
        <f>"248030302708"</f>
        <v>248030302708</v>
      </c>
      <c r="O6478" t="str">
        <f>"46002219910830452X"</f>
        <v>46002219910830452X</v>
      </c>
    </row>
    <row r="6479" customFormat="1" spans="1:15">
      <c r="A6479">
        <v>8292</v>
      </c>
      <c r="B6479" t="s">
        <v>6717</v>
      </c>
      <c r="C6479" t="str">
        <f>"460002199511074124"</f>
        <v>460002199511074124</v>
      </c>
      <c r="D6479" t="str">
        <f>"248030103016"</f>
        <v>248030103016</v>
      </c>
      <c r="L6479">
        <v>8292</v>
      </c>
      <c r="M6479" t="s">
        <v>6717</v>
      </c>
      <c r="N6479" t="str">
        <f>"248030103016"</f>
        <v>248030103016</v>
      </c>
      <c r="O6479" t="str">
        <f>"460002199511074124"</f>
        <v>460002199511074124</v>
      </c>
    </row>
    <row r="6480" customFormat="1" spans="1:15">
      <c r="A6480">
        <v>8293</v>
      </c>
      <c r="B6480" t="s">
        <v>6718</v>
      </c>
      <c r="C6480" t="str">
        <f>"460104200101240920"</f>
        <v>460104200101240920</v>
      </c>
      <c r="D6480" t="str">
        <f>"248030401726"</f>
        <v>248030401726</v>
      </c>
      <c r="L6480">
        <v>8293</v>
      </c>
      <c r="M6480" t="s">
        <v>6718</v>
      </c>
      <c r="N6480" t="str">
        <f>"248030401726"</f>
        <v>248030401726</v>
      </c>
      <c r="O6480" t="str">
        <f>"460104200101240920"</f>
        <v>460104200101240920</v>
      </c>
    </row>
    <row r="6481" customFormat="1" spans="1:15">
      <c r="A6481">
        <v>8295</v>
      </c>
      <c r="B6481" t="s">
        <v>6719</v>
      </c>
      <c r="C6481" t="str">
        <f>"460004199408280424"</f>
        <v>460004199408280424</v>
      </c>
      <c r="L6481">
        <v>8295</v>
      </c>
      <c r="M6481" t="s">
        <v>6719</v>
      </c>
      <c r="O6481" t="str">
        <f>"460004199408280424"</f>
        <v>460004199408280424</v>
      </c>
    </row>
    <row r="6482" customFormat="1" spans="1:15">
      <c r="A6482">
        <v>8296</v>
      </c>
      <c r="B6482" t="s">
        <v>6720</v>
      </c>
      <c r="C6482" t="str">
        <f>"130322200010232228"</f>
        <v>130322200010232228</v>
      </c>
      <c r="D6482" t="str">
        <f>"248030402208"</f>
        <v>248030402208</v>
      </c>
      <c r="L6482">
        <v>8296</v>
      </c>
      <c r="M6482" t="s">
        <v>6720</v>
      </c>
      <c r="N6482" t="str">
        <f>"248030402208"</f>
        <v>248030402208</v>
      </c>
      <c r="O6482" t="str">
        <f>"130322200010232228"</f>
        <v>130322200010232228</v>
      </c>
    </row>
    <row r="6483" customFormat="1" spans="1:15">
      <c r="A6483">
        <v>8299</v>
      </c>
      <c r="B6483" t="s">
        <v>6721</v>
      </c>
      <c r="C6483" t="str">
        <f>"460028200203090826"</f>
        <v>460028200203090826</v>
      </c>
      <c r="D6483" t="str">
        <f>"248030400502"</f>
        <v>248030400502</v>
      </c>
      <c r="L6483">
        <v>8299</v>
      </c>
      <c r="M6483" t="s">
        <v>6721</v>
      </c>
      <c r="N6483" t="str">
        <f>"248030400502"</f>
        <v>248030400502</v>
      </c>
      <c r="O6483" t="str">
        <f>"460028200203090826"</f>
        <v>460028200203090826</v>
      </c>
    </row>
    <row r="6484" customFormat="1" spans="1:15">
      <c r="A6484">
        <v>8300</v>
      </c>
      <c r="B6484" t="s">
        <v>6722</v>
      </c>
      <c r="C6484" t="str">
        <f>"460006200202202920"</f>
        <v>460006200202202920</v>
      </c>
      <c r="D6484" t="str">
        <f>"248030103621"</f>
        <v>248030103621</v>
      </c>
      <c r="L6484">
        <v>8300</v>
      </c>
      <c r="M6484" t="s">
        <v>6722</v>
      </c>
      <c r="N6484" t="str">
        <f>"248030103621"</f>
        <v>248030103621</v>
      </c>
      <c r="O6484" t="str">
        <f>"460006200202202920"</f>
        <v>460006200202202920</v>
      </c>
    </row>
    <row r="6485" customFormat="1" spans="1:15">
      <c r="A6485">
        <v>8302</v>
      </c>
      <c r="B6485" t="s">
        <v>112</v>
      </c>
      <c r="C6485" t="str">
        <f>"460027199110104430"</f>
        <v>460027199110104430</v>
      </c>
      <c r="D6485" t="str">
        <f>"248030101629"</f>
        <v>248030101629</v>
      </c>
      <c r="L6485">
        <v>8302</v>
      </c>
      <c r="M6485" t="s">
        <v>112</v>
      </c>
      <c r="N6485" t="str">
        <f>"248030101629"</f>
        <v>248030101629</v>
      </c>
      <c r="O6485" t="str">
        <f>"460027199110104430"</f>
        <v>460027199110104430</v>
      </c>
    </row>
    <row r="6486" customFormat="1" spans="1:15">
      <c r="A6486">
        <v>8304</v>
      </c>
      <c r="B6486" t="s">
        <v>6723</v>
      </c>
      <c r="C6486" t="str">
        <f>"460006200208162325"</f>
        <v>460006200208162325</v>
      </c>
      <c r="D6486" t="str">
        <f>"248030302124"</f>
        <v>248030302124</v>
      </c>
      <c r="L6486">
        <v>8304</v>
      </c>
      <c r="M6486" t="s">
        <v>6723</v>
      </c>
      <c r="N6486" t="str">
        <f>"248030302124"</f>
        <v>248030302124</v>
      </c>
      <c r="O6486" t="str">
        <f>"460006200208162325"</f>
        <v>460006200208162325</v>
      </c>
    </row>
    <row r="6487" customFormat="1" spans="1:15">
      <c r="A6487">
        <v>8306</v>
      </c>
      <c r="B6487" t="s">
        <v>6724</v>
      </c>
      <c r="C6487" t="str">
        <f>"460104200010030928"</f>
        <v>460104200010030928</v>
      </c>
      <c r="D6487" t="str">
        <f>"248030301601"</f>
        <v>248030301601</v>
      </c>
      <c r="L6487">
        <v>8306</v>
      </c>
      <c r="M6487" t="s">
        <v>6724</v>
      </c>
      <c r="N6487" t="str">
        <f>"248030301601"</f>
        <v>248030301601</v>
      </c>
      <c r="O6487" t="str">
        <f>"460104200010030928"</f>
        <v>460104200010030928</v>
      </c>
    </row>
    <row r="6488" customFormat="1" spans="1:15">
      <c r="A6488">
        <v>8307</v>
      </c>
      <c r="B6488" t="s">
        <v>6725</v>
      </c>
      <c r="C6488" t="str">
        <f>"460033200311253881"</f>
        <v>460033200311253881</v>
      </c>
      <c r="D6488" t="str">
        <f>"248030503111"</f>
        <v>248030503111</v>
      </c>
      <c r="L6488">
        <v>8307</v>
      </c>
      <c r="M6488" t="s">
        <v>6725</v>
      </c>
      <c r="N6488" t="str">
        <f>"248030503111"</f>
        <v>248030503111</v>
      </c>
      <c r="O6488" t="str">
        <f>"460033200311253881"</f>
        <v>460033200311253881</v>
      </c>
    </row>
    <row r="6489" customFormat="1" spans="1:15">
      <c r="A6489">
        <v>8308</v>
      </c>
      <c r="B6489" t="s">
        <v>6726</v>
      </c>
      <c r="C6489" t="str">
        <f>"460035199709282938"</f>
        <v>460035199709282938</v>
      </c>
      <c r="L6489">
        <v>8308</v>
      </c>
      <c r="M6489" t="s">
        <v>6726</v>
      </c>
      <c r="O6489" t="str">
        <f>"460035199709282938"</f>
        <v>460035199709282938</v>
      </c>
    </row>
    <row r="6490" customFormat="1" spans="1:15">
      <c r="A6490">
        <v>8309</v>
      </c>
      <c r="B6490" t="s">
        <v>6727</v>
      </c>
      <c r="C6490" t="str">
        <f>"460028200112110422"</f>
        <v>460028200112110422</v>
      </c>
      <c r="D6490" t="str">
        <f>"248030101012"</f>
        <v>248030101012</v>
      </c>
      <c r="L6490">
        <v>8309</v>
      </c>
      <c r="M6490" t="s">
        <v>6727</v>
      </c>
      <c r="N6490" t="str">
        <f>"248030101012"</f>
        <v>248030101012</v>
      </c>
      <c r="O6490" t="str">
        <f>"460028200112110422"</f>
        <v>460028200112110422</v>
      </c>
    </row>
    <row r="6491" customFormat="1" spans="1:15">
      <c r="A6491">
        <v>8310</v>
      </c>
      <c r="B6491" t="s">
        <v>6728</v>
      </c>
      <c r="C6491" t="str">
        <f>"460003199306173349"</f>
        <v>460003199306173349</v>
      </c>
      <c r="D6491" t="str">
        <f>"248030101925"</f>
        <v>248030101925</v>
      </c>
      <c r="L6491">
        <v>8310</v>
      </c>
      <c r="M6491" t="s">
        <v>6728</v>
      </c>
      <c r="N6491" t="str">
        <f>"248030101925"</f>
        <v>248030101925</v>
      </c>
      <c r="O6491" t="str">
        <f>"460003199306173349"</f>
        <v>460003199306173349</v>
      </c>
    </row>
    <row r="6492" customFormat="1" spans="1:15">
      <c r="A6492">
        <v>8311</v>
      </c>
      <c r="B6492" t="s">
        <v>6729</v>
      </c>
      <c r="C6492" t="str">
        <f>"460031200201066441"</f>
        <v>460031200201066441</v>
      </c>
      <c r="D6492" t="str">
        <f>"248030300414"</f>
        <v>248030300414</v>
      </c>
      <c r="L6492">
        <v>8311</v>
      </c>
      <c r="M6492" t="s">
        <v>6729</v>
      </c>
      <c r="N6492" t="str">
        <f>"248030300414"</f>
        <v>248030300414</v>
      </c>
      <c r="O6492" t="str">
        <f>"460031200201066441"</f>
        <v>460031200201066441</v>
      </c>
    </row>
    <row r="6493" customFormat="1" spans="1:15">
      <c r="A6493">
        <v>8312</v>
      </c>
      <c r="B6493" t="s">
        <v>6730</v>
      </c>
      <c r="C6493" t="str">
        <f>"140107199911200014"</f>
        <v>140107199911200014</v>
      </c>
      <c r="D6493" t="str">
        <f>"248030201229"</f>
        <v>248030201229</v>
      </c>
      <c r="L6493">
        <v>8312</v>
      </c>
      <c r="M6493" t="s">
        <v>6730</v>
      </c>
      <c r="N6493" t="str">
        <f>"248030201229"</f>
        <v>248030201229</v>
      </c>
      <c r="O6493" t="str">
        <f>"140107199911200014"</f>
        <v>140107199911200014</v>
      </c>
    </row>
    <row r="6494" customFormat="1" spans="1:15">
      <c r="A6494">
        <v>8313</v>
      </c>
      <c r="B6494" t="s">
        <v>6731</v>
      </c>
      <c r="C6494" t="str">
        <f>"46003319891129322X"</f>
        <v>46003319891129322X</v>
      </c>
      <c r="D6494" t="str">
        <f>"248030101706"</f>
        <v>248030101706</v>
      </c>
      <c r="L6494">
        <v>8313</v>
      </c>
      <c r="M6494" t="s">
        <v>6731</v>
      </c>
      <c r="N6494" t="str">
        <f>"248030101706"</f>
        <v>248030101706</v>
      </c>
      <c r="O6494" t="str">
        <f>"46003319891129322X"</f>
        <v>46003319891129322X</v>
      </c>
    </row>
    <row r="6495" customFormat="1" spans="1:15">
      <c r="A6495">
        <v>8314</v>
      </c>
      <c r="B6495" t="s">
        <v>6732</v>
      </c>
      <c r="C6495" t="str">
        <f>"460003199308042625"</f>
        <v>460003199308042625</v>
      </c>
      <c r="D6495" t="str">
        <f>"248030302612"</f>
        <v>248030302612</v>
      </c>
      <c r="L6495">
        <v>8314</v>
      </c>
      <c r="M6495" t="s">
        <v>6732</v>
      </c>
      <c r="N6495" t="str">
        <f>"248030302612"</f>
        <v>248030302612</v>
      </c>
      <c r="O6495" t="str">
        <f>"460003199308042625"</f>
        <v>460003199308042625</v>
      </c>
    </row>
    <row r="6496" customFormat="1" spans="1:15">
      <c r="A6496">
        <v>8315</v>
      </c>
      <c r="B6496" t="s">
        <v>6733</v>
      </c>
      <c r="C6496" t="str">
        <f>"460027199809202624"</f>
        <v>460027199809202624</v>
      </c>
      <c r="L6496">
        <v>8315</v>
      </c>
      <c r="M6496" t="s">
        <v>6733</v>
      </c>
      <c r="O6496" t="str">
        <f>"460027199809202624"</f>
        <v>460027199809202624</v>
      </c>
    </row>
    <row r="6497" customFormat="1" spans="1:15">
      <c r="A6497">
        <v>8317</v>
      </c>
      <c r="B6497" t="s">
        <v>6734</v>
      </c>
      <c r="C6497" t="str">
        <f>"460102199008291821"</f>
        <v>460102199008291821</v>
      </c>
      <c r="D6497" t="str">
        <f>"248030502719"</f>
        <v>248030502719</v>
      </c>
      <c r="L6497">
        <v>8317</v>
      </c>
      <c r="M6497" t="s">
        <v>6734</v>
      </c>
      <c r="N6497" t="str">
        <f>"248030502719"</f>
        <v>248030502719</v>
      </c>
      <c r="O6497" t="str">
        <f>"460102199008291821"</f>
        <v>460102199008291821</v>
      </c>
    </row>
    <row r="6498" customFormat="1" spans="1:15">
      <c r="A6498">
        <v>8318</v>
      </c>
      <c r="B6498" t="s">
        <v>6735</v>
      </c>
      <c r="C6498" t="str">
        <f>"430203199708030223"</f>
        <v>430203199708030223</v>
      </c>
      <c r="L6498">
        <v>8318</v>
      </c>
      <c r="M6498" t="s">
        <v>6735</v>
      </c>
      <c r="O6498" t="str">
        <f>"430203199708030223"</f>
        <v>430203199708030223</v>
      </c>
    </row>
    <row r="6499" customFormat="1" spans="1:15">
      <c r="A6499">
        <v>8319</v>
      </c>
      <c r="B6499" t="s">
        <v>6736</v>
      </c>
      <c r="C6499" t="str">
        <f>"460003198910014227"</f>
        <v>460003198910014227</v>
      </c>
      <c r="D6499" t="str">
        <f>"248030401430"</f>
        <v>248030401430</v>
      </c>
      <c r="L6499">
        <v>8319</v>
      </c>
      <c r="M6499" t="s">
        <v>6736</v>
      </c>
      <c r="N6499" t="str">
        <f>"248030401430"</f>
        <v>248030401430</v>
      </c>
      <c r="O6499" t="str">
        <f>"460003198910014227"</f>
        <v>460003198910014227</v>
      </c>
    </row>
    <row r="6500" customFormat="1" spans="1:15">
      <c r="A6500">
        <v>8320</v>
      </c>
      <c r="B6500" t="s">
        <v>6737</v>
      </c>
      <c r="C6500" t="str">
        <f>"431382200206290102"</f>
        <v>431382200206290102</v>
      </c>
      <c r="D6500" t="str">
        <f>"248030400508"</f>
        <v>248030400508</v>
      </c>
      <c r="L6500">
        <v>8320</v>
      </c>
      <c r="M6500" t="s">
        <v>6737</v>
      </c>
      <c r="N6500" t="str">
        <f>"248030400508"</f>
        <v>248030400508</v>
      </c>
      <c r="O6500" t="str">
        <f>"431382200206290102"</f>
        <v>431382200206290102</v>
      </c>
    </row>
    <row r="6501" customFormat="1" spans="1:15">
      <c r="A6501">
        <v>8323</v>
      </c>
      <c r="B6501" t="s">
        <v>416</v>
      </c>
      <c r="C6501" t="str">
        <f>"460105200210080029"</f>
        <v>460105200210080029</v>
      </c>
      <c r="D6501" t="str">
        <f>"248030301822"</f>
        <v>248030301822</v>
      </c>
      <c r="L6501">
        <v>8323</v>
      </c>
      <c r="M6501" t="s">
        <v>416</v>
      </c>
      <c r="N6501" t="str">
        <f>"248030301822"</f>
        <v>248030301822</v>
      </c>
      <c r="O6501" t="str">
        <f>"460105200210080029"</f>
        <v>460105200210080029</v>
      </c>
    </row>
    <row r="6502" customFormat="1" spans="1:15">
      <c r="A6502">
        <v>8324</v>
      </c>
      <c r="B6502" t="s">
        <v>6738</v>
      </c>
      <c r="C6502" t="str">
        <f>"460028200209243221"</f>
        <v>460028200209243221</v>
      </c>
      <c r="D6502" t="str">
        <f>"248030302227"</f>
        <v>248030302227</v>
      </c>
      <c r="L6502">
        <v>8324</v>
      </c>
      <c r="M6502" t="s">
        <v>6738</v>
      </c>
      <c r="N6502" t="str">
        <f>"248030302227"</f>
        <v>248030302227</v>
      </c>
      <c r="O6502" t="str">
        <f>"460028200209243221"</f>
        <v>460028200209243221</v>
      </c>
    </row>
    <row r="6503" customFormat="1" spans="1:15">
      <c r="A6503">
        <v>8325</v>
      </c>
      <c r="B6503" t="s">
        <v>6739</v>
      </c>
      <c r="C6503" t="str">
        <f>"460003200012282422"</f>
        <v>460003200012282422</v>
      </c>
      <c r="D6503" t="str">
        <f>"248030100317"</f>
        <v>248030100317</v>
      </c>
      <c r="L6503">
        <v>8325</v>
      </c>
      <c r="M6503" t="s">
        <v>6739</v>
      </c>
      <c r="N6503" t="str">
        <f>"248030100317"</f>
        <v>248030100317</v>
      </c>
      <c r="O6503" t="str">
        <f>"460003200012282422"</f>
        <v>460003200012282422</v>
      </c>
    </row>
    <row r="6504" customFormat="1" spans="1:15">
      <c r="A6504">
        <v>8328</v>
      </c>
      <c r="B6504" t="s">
        <v>6740</v>
      </c>
      <c r="C6504" t="str">
        <f>"460036200203205224"</f>
        <v>460036200203205224</v>
      </c>
      <c r="D6504" t="str">
        <f>"248030400317"</f>
        <v>248030400317</v>
      </c>
      <c r="L6504">
        <v>8328</v>
      </c>
      <c r="M6504" t="s">
        <v>6740</v>
      </c>
      <c r="N6504" t="str">
        <f>"248030400317"</f>
        <v>248030400317</v>
      </c>
      <c r="O6504" t="str">
        <f>"460036200203205224"</f>
        <v>460036200203205224</v>
      </c>
    </row>
    <row r="6505" customFormat="1" spans="1:15">
      <c r="A6505">
        <v>8332</v>
      </c>
      <c r="B6505" t="s">
        <v>6741</v>
      </c>
      <c r="C6505" t="str">
        <f>"469005200207054527"</f>
        <v>469005200207054527</v>
      </c>
      <c r="D6505" t="str">
        <f>"248030104912"</f>
        <v>248030104912</v>
      </c>
      <c r="L6505">
        <v>8332</v>
      </c>
      <c r="M6505" t="s">
        <v>6741</v>
      </c>
      <c r="N6505" t="str">
        <f>"248030104912"</f>
        <v>248030104912</v>
      </c>
      <c r="O6505" t="str">
        <f>"469005200207054527"</f>
        <v>469005200207054527</v>
      </c>
    </row>
    <row r="6506" customFormat="1" spans="1:15">
      <c r="A6506">
        <v>8333</v>
      </c>
      <c r="B6506" t="s">
        <v>6742</v>
      </c>
      <c r="C6506" t="str">
        <f>"460003199704222214"</f>
        <v>460003199704222214</v>
      </c>
      <c r="L6506">
        <v>8333</v>
      </c>
      <c r="M6506" t="s">
        <v>6742</v>
      </c>
      <c r="O6506" t="str">
        <f>"460003199704222214"</f>
        <v>460003199704222214</v>
      </c>
    </row>
    <row r="6507" customFormat="1" spans="1:15">
      <c r="A6507">
        <v>8334</v>
      </c>
      <c r="B6507" t="s">
        <v>6743</v>
      </c>
      <c r="C6507" t="str">
        <f>"450924199906105349"</f>
        <v>450924199906105349</v>
      </c>
      <c r="D6507" t="str">
        <f>"248030100303"</f>
        <v>248030100303</v>
      </c>
      <c r="L6507">
        <v>8334</v>
      </c>
      <c r="M6507" t="s">
        <v>6743</v>
      </c>
      <c r="N6507" t="str">
        <f>"248030100303"</f>
        <v>248030100303</v>
      </c>
      <c r="O6507" t="str">
        <f>"450924199906105349"</f>
        <v>450924199906105349</v>
      </c>
    </row>
    <row r="6508" customFormat="1" spans="1:15">
      <c r="A6508">
        <v>8335</v>
      </c>
      <c r="B6508" t="s">
        <v>6744</v>
      </c>
      <c r="C6508" t="str">
        <f>"460103199307100067"</f>
        <v>460103199307100067</v>
      </c>
      <c r="L6508">
        <v>8335</v>
      </c>
      <c r="M6508" t="s">
        <v>6744</v>
      </c>
      <c r="O6508" t="str">
        <f>"460103199307100067"</f>
        <v>460103199307100067</v>
      </c>
    </row>
    <row r="6509" customFormat="1" spans="1:15">
      <c r="A6509">
        <v>8337</v>
      </c>
      <c r="B6509" t="s">
        <v>6745</v>
      </c>
      <c r="C6509" t="str">
        <f>"460006200102280649"</f>
        <v>460006200102280649</v>
      </c>
      <c r="D6509" t="str">
        <f>"248030502910"</f>
        <v>248030502910</v>
      </c>
      <c r="L6509">
        <v>8337</v>
      </c>
      <c r="M6509" t="s">
        <v>6745</v>
      </c>
      <c r="N6509" t="str">
        <f>"248030502910"</f>
        <v>248030502910</v>
      </c>
      <c r="O6509" t="str">
        <f>"460006200102280649"</f>
        <v>460006200102280649</v>
      </c>
    </row>
    <row r="6510" customFormat="1" spans="1:15">
      <c r="A6510">
        <v>8339</v>
      </c>
      <c r="B6510" t="s">
        <v>6746</v>
      </c>
      <c r="C6510" t="str">
        <f>"460031200201155620"</f>
        <v>460031200201155620</v>
      </c>
      <c r="D6510" t="str">
        <f>"248030500524"</f>
        <v>248030500524</v>
      </c>
      <c r="L6510">
        <v>8339</v>
      </c>
      <c r="M6510" t="s">
        <v>6746</v>
      </c>
      <c r="N6510" t="str">
        <f>"248030500524"</f>
        <v>248030500524</v>
      </c>
      <c r="O6510" t="str">
        <f>"460031200201155620"</f>
        <v>460031200201155620</v>
      </c>
    </row>
    <row r="6511" customFormat="1" spans="1:15">
      <c r="A6511">
        <v>8340</v>
      </c>
      <c r="B6511" t="s">
        <v>6747</v>
      </c>
      <c r="C6511" t="str">
        <f>"460005199711032710"</f>
        <v>460005199711032710</v>
      </c>
      <c r="D6511" t="str">
        <f>"248030400423"</f>
        <v>248030400423</v>
      </c>
      <c r="L6511">
        <v>8340</v>
      </c>
      <c r="M6511" t="s">
        <v>6747</v>
      </c>
      <c r="N6511" t="str">
        <f>"248030400423"</f>
        <v>248030400423</v>
      </c>
      <c r="O6511" t="str">
        <f>"460005199711032710"</f>
        <v>460005199711032710</v>
      </c>
    </row>
    <row r="6512" customFormat="1" spans="1:15">
      <c r="A6512">
        <v>8342</v>
      </c>
      <c r="B6512" t="s">
        <v>6748</v>
      </c>
      <c r="C6512" t="str">
        <f>"460002200110170022"</f>
        <v>460002200110170022</v>
      </c>
      <c r="D6512" t="str">
        <f>"248030501104"</f>
        <v>248030501104</v>
      </c>
      <c r="L6512">
        <v>8342</v>
      </c>
      <c r="M6512" t="s">
        <v>6748</v>
      </c>
      <c r="N6512" t="str">
        <f>"248030501104"</f>
        <v>248030501104</v>
      </c>
      <c r="O6512" t="str">
        <f>"460002200110170022"</f>
        <v>460002200110170022</v>
      </c>
    </row>
    <row r="6513" customFormat="1" spans="1:15">
      <c r="A6513">
        <v>8343</v>
      </c>
      <c r="B6513" t="s">
        <v>6749</v>
      </c>
      <c r="C6513" t="str">
        <f>"432503199908245665"</f>
        <v>432503199908245665</v>
      </c>
      <c r="D6513" t="str">
        <f>"248030502522"</f>
        <v>248030502522</v>
      </c>
      <c r="L6513">
        <v>8343</v>
      </c>
      <c r="M6513" t="s">
        <v>6749</v>
      </c>
      <c r="N6513" t="str">
        <f>"248030502522"</f>
        <v>248030502522</v>
      </c>
      <c r="O6513" t="str">
        <f>"432503199908245665"</f>
        <v>432503199908245665</v>
      </c>
    </row>
    <row r="6514" customFormat="1" spans="1:15">
      <c r="A6514">
        <v>8344</v>
      </c>
      <c r="B6514" t="s">
        <v>6750</v>
      </c>
      <c r="C6514" t="str">
        <f>"460022199709015619"</f>
        <v>460022199709015619</v>
      </c>
      <c r="D6514" t="str">
        <f>"248030503030"</f>
        <v>248030503030</v>
      </c>
      <c r="L6514">
        <v>8344</v>
      </c>
      <c r="M6514" t="s">
        <v>6750</v>
      </c>
      <c r="N6514" t="str">
        <f>"248030503030"</f>
        <v>248030503030</v>
      </c>
      <c r="O6514" t="str">
        <f>"460022199709015619"</f>
        <v>460022199709015619</v>
      </c>
    </row>
    <row r="6515" customFormat="1" spans="1:15">
      <c r="A6515">
        <v>8345</v>
      </c>
      <c r="B6515" t="s">
        <v>6751</v>
      </c>
      <c r="C6515" t="str">
        <f>"460004200102062227"</f>
        <v>460004200102062227</v>
      </c>
      <c r="D6515" t="str">
        <f>"248030103824"</f>
        <v>248030103824</v>
      </c>
      <c r="L6515">
        <v>8345</v>
      </c>
      <c r="M6515" t="s">
        <v>6751</v>
      </c>
      <c r="N6515" t="str">
        <f>"248030103824"</f>
        <v>248030103824</v>
      </c>
      <c r="O6515" t="str">
        <f>"460004200102062227"</f>
        <v>460004200102062227</v>
      </c>
    </row>
    <row r="6516" customFormat="1" spans="1:15">
      <c r="A6516">
        <v>8346</v>
      </c>
      <c r="B6516" t="s">
        <v>6752</v>
      </c>
      <c r="C6516" t="str">
        <f>"432524199902051925"</f>
        <v>432524199902051925</v>
      </c>
      <c r="D6516" t="str">
        <f>"248030501010"</f>
        <v>248030501010</v>
      </c>
      <c r="L6516">
        <v>8346</v>
      </c>
      <c r="M6516" t="s">
        <v>6752</v>
      </c>
      <c r="N6516" t="str">
        <f>"248030501010"</f>
        <v>248030501010</v>
      </c>
      <c r="O6516" t="str">
        <f>"432524199902051925"</f>
        <v>432524199902051925</v>
      </c>
    </row>
    <row r="6517" customFormat="1" spans="1:15">
      <c r="A6517">
        <v>8347</v>
      </c>
      <c r="B6517" t="s">
        <v>6753</v>
      </c>
      <c r="C6517" t="str">
        <f>"46902120000430002X"</f>
        <v>46902120000430002X</v>
      </c>
      <c r="D6517" t="str">
        <f>"248030302417"</f>
        <v>248030302417</v>
      </c>
      <c r="L6517">
        <v>8347</v>
      </c>
      <c r="M6517" t="s">
        <v>6753</v>
      </c>
      <c r="N6517" t="str">
        <f>"248030302417"</f>
        <v>248030302417</v>
      </c>
      <c r="O6517" t="str">
        <f>"46902120000430002X"</f>
        <v>46902120000430002X</v>
      </c>
    </row>
    <row r="6518" customFormat="1" spans="1:15">
      <c r="A6518">
        <v>8348</v>
      </c>
      <c r="B6518" t="s">
        <v>6754</v>
      </c>
      <c r="C6518" t="str">
        <f>"460002199807160523"</f>
        <v>460002199807160523</v>
      </c>
      <c r="D6518" t="str">
        <f>"248030302530"</f>
        <v>248030302530</v>
      </c>
      <c r="L6518">
        <v>8348</v>
      </c>
      <c r="M6518" t="s">
        <v>6754</v>
      </c>
      <c r="N6518" t="str">
        <f>"248030302530"</f>
        <v>248030302530</v>
      </c>
      <c r="O6518" t="str">
        <f>"460002199807160523"</f>
        <v>460002199807160523</v>
      </c>
    </row>
    <row r="6519" customFormat="1" spans="1:15">
      <c r="A6519">
        <v>8349</v>
      </c>
      <c r="B6519" t="s">
        <v>6755</v>
      </c>
      <c r="C6519" t="str">
        <f>"460003199702232849"</f>
        <v>460003199702232849</v>
      </c>
      <c r="L6519">
        <v>8349</v>
      </c>
      <c r="M6519" t="s">
        <v>6755</v>
      </c>
      <c r="O6519" t="str">
        <f>"460003199702232849"</f>
        <v>460003199702232849</v>
      </c>
    </row>
    <row r="6520" customFormat="1" spans="1:15">
      <c r="A6520">
        <v>8351</v>
      </c>
      <c r="B6520" t="s">
        <v>6756</v>
      </c>
      <c r="C6520" t="str">
        <f>"460028200008096026"</f>
        <v>460028200008096026</v>
      </c>
      <c r="L6520">
        <v>8351</v>
      </c>
      <c r="M6520" t="s">
        <v>6756</v>
      </c>
      <c r="O6520" t="str">
        <f>"460028200008096026"</f>
        <v>460028200008096026</v>
      </c>
    </row>
    <row r="6521" customFormat="1" spans="1:15">
      <c r="A6521">
        <v>8352</v>
      </c>
      <c r="B6521" t="s">
        <v>6757</v>
      </c>
      <c r="C6521" t="str">
        <f>"460002200003032521"</f>
        <v>460002200003032521</v>
      </c>
      <c r="D6521" t="str">
        <f>"248030103404"</f>
        <v>248030103404</v>
      </c>
      <c r="L6521">
        <v>8352</v>
      </c>
      <c r="M6521" t="s">
        <v>6757</v>
      </c>
      <c r="N6521" t="str">
        <f>"248030103404"</f>
        <v>248030103404</v>
      </c>
      <c r="O6521" t="str">
        <f>"460002200003032521"</f>
        <v>460002200003032521</v>
      </c>
    </row>
    <row r="6522" customFormat="1" spans="1:15">
      <c r="A6522">
        <v>8353</v>
      </c>
      <c r="B6522" t="s">
        <v>6758</v>
      </c>
      <c r="C6522" t="str">
        <f>"46000719981128466X"</f>
        <v>46000719981128466X</v>
      </c>
      <c r="L6522">
        <v>8353</v>
      </c>
      <c r="M6522" t="s">
        <v>6758</v>
      </c>
      <c r="O6522" t="str">
        <f>"46000719981128466X"</f>
        <v>46000719981128466X</v>
      </c>
    </row>
    <row r="6523" customFormat="1" spans="1:15">
      <c r="A6523">
        <v>8354</v>
      </c>
      <c r="B6523" t="s">
        <v>6759</v>
      </c>
      <c r="C6523" t="str">
        <f>"469026200003306413"</f>
        <v>469026200003306413</v>
      </c>
      <c r="D6523" t="str">
        <f>"248030201120"</f>
        <v>248030201120</v>
      </c>
      <c r="L6523">
        <v>8354</v>
      </c>
      <c r="M6523" t="s">
        <v>6759</v>
      </c>
      <c r="N6523" t="str">
        <f>"248030201120"</f>
        <v>248030201120</v>
      </c>
      <c r="O6523" t="str">
        <f>"469026200003306413"</f>
        <v>469026200003306413</v>
      </c>
    </row>
    <row r="6524" customFormat="1" spans="1:15">
      <c r="A6524">
        <v>8355</v>
      </c>
      <c r="B6524" t="s">
        <v>6760</v>
      </c>
      <c r="C6524" t="str">
        <f>"440304200003193822"</f>
        <v>440304200003193822</v>
      </c>
      <c r="L6524">
        <v>8355</v>
      </c>
      <c r="M6524" t="s">
        <v>6760</v>
      </c>
      <c r="O6524" t="str">
        <f>"440304200003193822"</f>
        <v>440304200003193822</v>
      </c>
    </row>
    <row r="6525" customFormat="1" spans="1:15">
      <c r="A6525">
        <v>8356</v>
      </c>
      <c r="B6525" t="s">
        <v>6761</v>
      </c>
      <c r="C6525" t="str">
        <f>"460026200212031526"</f>
        <v>460026200212031526</v>
      </c>
      <c r="D6525" t="str">
        <f>"248030101723"</f>
        <v>248030101723</v>
      </c>
      <c r="L6525">
        <v>8356</v>
      </c>
      <c r="M6525" t="s">
        <v>6761</v>
      </c>
      <c r="N6525" t="str">
        <f>"248030101723"</f>
        <v>248030101723</v>
      </c>
      <c r="O6525" t="str">
        <f>"460026200212031526"</f>
        <v>460026200212031526</v>
      </c>
    </row>
    <row r="6526" customFormat="1" spans="1:15">
      <c r="A6526">
        <v>8359</v>
      </c>
      <c r="B6526" t="s">
        <v>6762</v>
      </c>
      <c r="C6526" t="str">
        <f>"460002200210141528"</f>
        <v>460002200210141528</v>
      </c>
      <c r="D6526" t="str">
        <f>"248030103607"</f>
        <v>248030103607</v>
      </c>
      <c r="L6526">
        <v>8359</v>
      </c>
      <c r="M6526" t="s">
        <v>6762</v>
      </c>
      <c r="N6526" t="str">
        <f>"248030103607"</f>
        <v>248030103607</v>
      </c>
      <c r="O6526" t="str">
        <f>"460002200210141528"</f>
        <v>460002200210141528</v>
      </c>
    </row>
    <row r="6527" customFormat="1" spans="1:15">
      <c r="A6527">
        <v>8361</v>
      </c>
      <c r="B6527" t="s">
        <v>6763</v>
      </c>
      <c r="C6527" t="str">
        <f>"46003319920106630X"</f>
        <v>46003319920106630X</v>
      </c>
      <c r="D6527" t="str">
        <f>"248030103516"</f>
        <v>248030103516</v>
      </c>
      <c r="L6527">
        <v>8361</v>
      </c>
      <c r="M6527" t="s">
        <v>6763</v>
      </c>
      <c r="N6527" t="str">
        <f>"248030103516"</f>
        <v>248030103516</v>
      </c>
      <c r="O6527" t="str">
        <f>"46003319920106630X"</f>
        <v>46003319920106630X</v>
      </c>
    </row>
    <row r="6528" customFormat="1" spans="1:15">
      <c r="A6528">
        <v>8362</v>
      </c>
      <c r="B6528" t="s">
        <v>6764</v>
      </c>
      <c r="C6528" t="str">
        <f>"460026199711250920"</f>
        <v>460026199711250920</v>
      </c>
      <c r="L6528">
        <v>8362</v>
      </c>
      <c r="M6528" t="s">
        <v>6764</v>
      </c>
      <c r="O6528" t="str">
        <f>"460026199711250920"</f>
        <v>460026199711250920</v>
      </c>
    </row>
    <row r="6529" customFormat="1" spans="1:15">
      <c r="A6529">
        <v>8364</v>
      </c>
      <c r="B6529" t="s">
        <v>6765</v>
      </c>
      <c r="C6529" t="str">
        <f>"460027199703025922"</f>
        <v>460027199703025922</v>
      </c>
      <c r="L6529">
        <v>8364</v>
      </c>
      <c r="M6529" t="s">
        <v>6765</v>
      </c>
      <c r="O6529" t="str">
        <f>"460027199703025922"</f>
        <v>460027199703025922</v>
      </c>
    </row>
    <row r="6530" customFormat="1" spans="1:15">
      <c r="A6530">
        <v>8365</v>
      </c>
      <c r="B6530" t="s">
        <v>811</v>
      </c>
      <c r="C6530" t="str">
        <f>"460026200002021821"</f>
        <v>460026200002021821</v>
      </c>
      <c r="D6530" t="str">
        <f>"248030503724"</f>
        <v>248030503724</v>
      </c>
      <c r="L6530">
        <v>8365</v>
      </c>
      <c r="M6530" t="s">
        <v>811</v>
      </c>
      <c r="N6530" t="str">
        <f>"248030503724"</f>
        <v>248030503724</v>
      </c>
      <c r="O6530" t="str">
        <f>"460026200002021821"</f>
        <v>460026200002021821</v>
      </c>
    </row>
    <row r="6531" customFormat="1" spans="1:15">
      <c r="A6531">
        <v>8366</v>
      </c>
      <c r="B6531" t="s">
        <v>6766</v>
      </c>
      <c r="C6531" t="str">
        <f>"441381200204187422"</f>
        <v>441381200204187422</v>
      </c>
      <c r="D6531" t="str">
        <f>"248030300605"</f>
        <v>248030300605</v>
      </c>
      <c r="L6531">
        <v>8366</v>
      </c>
      <c r="M6531" t="s">
        <v>6766</v>
      </c>
      <c r="N6531" t="str">
        <f>"248030300605"</f>
        <v>248030300605</v>
      </c>
      <c r="O6531" t="str">
        <f>"441381200204187422"</f>
        <v>441381200204187422</v>
      </c>
    </row>
    <row r="6532" customFormat="1" spans="1:15">
      <c r="A6532">
        <v>8367</v>
      </c>
      <c r="B6532" t="s">
        <v>6767</v>
      </c>
      <c r="C6532" t="str">
        <f>"460006200202044627"</f>
        <v>460006200202044627</v>
      </c>
      <c r="D6532" t="str">
        <f>"248030503317"</f>
        <v>248030503317</v>
      </c>
      <c r="L6532">
        <v>8367</v>
      </c>
      <c r="M6532" t="s">
        <v>6767</v>
      </c>
      <c r="N6532" t="str">
        <f>"248030503317"</f>
        <v>248030503317</v>
      </c>
      <c r="O6532" t="str">
        <f>"460006200202044627"</f>
        <v>460006200202044627</v>
      </c>
    </row>
    <row r="6533" customFormat="1" spans="1:15">
      <c r="A6533">
        <v>8368</v>
      </c>
      <c r="B6533" t="s">
        <v>6768</v>
      </c>
      <c r="C6533" t="str">
        <f>"460034199912025826"</f>
        <v>460034199912025826</v>
      </c>
      <c r="D6533" t="str">
        <f>"248030103216"</f>
        <v>248030103216</v>
      </c>
      <c r="L6533">
        <v>8368</v>
      </c>
      <c r="M6533" t="s">
        <v>6768</v>
      </c>
      <c r="N6533" t="str">
        <f>"248030103216"</f>
        <v>248030103216</v>
      </c>
      <c r="O6533" t="str">
        <f>"460034199912025826"</f>
        <v>460034199912025826</v>
      </c>
    </row>
    <row r="6534" customFormat="1" spans="1:15">
      <c r="A6534">
        <v>8369</v>
      </c>
      <c r="B6534" t="s">
        <v>686</v>
      </c>
      <c r="C6534" t="str">
        <f>"460004199511130248"</f>
        <v>460004199511130248</v>
      </c>
      <c r="D6534" t="str">
        <f>"248030403525"</f>
        <v>248030403525</v>
      </c>
      <c r="L6534">
        <v>8369</v>
      </c>
      <c r="M6534" t="s">
        <v>686</v>
      </c>
      <c r="N6534" t="str">
        <f>"248030403525"</f>
        <v>248030403525</v>
      </c>
      <c r="O6534" t="str">
        <f>"460004199511130248"</f>
        <v>460004199511130248</v>
      </c>
    </row>
    <row r="6535" customFormat="1" spans="1:15">
      <c r="A6535">
        <v>8370</v>
      </c>
      <c r="B6535" t="s">
        <v>6769</v>
      </c>
      <c r="C6535" t="str">
        <f>"460001199212170726"</f>
        <v>460001199212170726</v>
      </c>
      <c r="D6535" t="str">
        <f>"248030502019"</f>
        <v>248030502019</v>
      </c>
      <c r="L6535">
        <v>8370</v>
      </c>
      <c r="M6535" t="s">
        <v>6769</v>
      </c>
      <c r="N6535" t="str">
        <f>"248030502019"</f>
        <v>248030502019</v>
      </c>
      <c r="O6535" t="str">
        <f>"460001199212170726"</f>
        <v>460001199212170726</v>
      </c>
    </row>
    <row r="6536" customFormat="1" spans="1:15">
      <c r="A6536">
        <v>8371</v>
      </c>
      <c r="B6536" t="s">
        <v>6770</v>
      </c>
      <c r="C6536" t="str">
        <f>"460200199906161415"</f>
        <v>460200199906161415</v>
      </c>
      <c r="L6536">
        <v>8371</v>
      </c>
      <c r="M6536" t="s">
        <v>6770</v>
      </c>
      <c r="O6536" t="str">
        <f>"460200199906161415"</f>
        <v>460200199906161415</v>
      </c>
    </row>
    <row r="6537" customFormat="1" spans="1:15">
      <c r="A6537">
        <v>8372</v>
      </c>
      <c r="B6537" t="s">
        <v>6771</v>
      </c>
      <c r="C6537" t="str">
        <f>"522226199904130027"</f>
        <v>522226199904130027</v>
      </c>
      <c r="L6537">
        <v>8372</v>
      </c>
      <c r="M6537" t="s">
        <v>6771</v>
      </c>
      <c r="O6537" t="str">
        <f>"522226199904130027"</f>
        <v>522226199904130027</v>
      </c>
    </row>
    <row r="6538" customFormat="1" spans="1:15">
      <c r="A6538">
        <v>8373</v>
      </c>
      <c r="B6538" t="s">
        <v>6772</v>
      </c>
      <c r="C6538" t="str">
        <f>"460003199805202618"</f>
        <v>460003199805202618</v>
      </c>
      <c r="L6538">
        <v>8373</v>
      </c>
      <c r="M6538" t="s">
        <v>6772</v>
      </c>
      <c r="O6538" t="str">
        <f>"460003199805202618"</f>
        <v>460003199805202618</v>
      </c>
    </row>
    <row r="6539" customFormat="1" spans="1:15">
      <c r="A6539">
        <v>8374</v>
      </c>
      <c r="B6539" t="s">
        <v>6773</v>
      </c>
      <c r="C6539" t="str">
        <f>"341602200109202820"</f>
        <v>341602200109202820</v>
      </c>
      <c r="L6539">
        <v>8374</v>
      </c>
      <c r="M6539" t="s">
        <v>6773</v>
      </c>
      <c r="O6539" t="str">
        <f>"341602200109202820"</f>
        <v>341602200109202820</v>
      </c>
    </row>
    <row r="6540" customFormat="1" spans="1:15">
      <c r="A6540">
        <v>8375</v>
      </c>
      <c r="B6540" t="s">
        <v>6774</v>
      </c>
      <c r="C6540" t="str">
        <f>"460003200011054049"</f>
        <v>460003200011054049</v>
      </c>
      <c r="D6540" t="str">
        <f>"248030403310"</f>
        <v>248030403310</v>
      </c>
      <c r="L6540">
        <v>8375</v>
      </c>
      <c r="M6540" t="s">
        <v>6774</v>
      </c>
      <c r="N6540" t="str">
        <f>"248030403310"</f>
        <v>248030403310</v>
      </c>
      <c r="O6540" t="str">
        <f>"460003200011054049"</f>
        <v>460003200011054049</v>
      </c>
    </row>
    <row r="6541" customFormat="1" spans="1:15">
      <c r="A6541">
        <v>8377</v>
      </c>
      <c r="B6541" t="s">
        <v>6775</v>
      </c>
      <c r="C6541" t="str">
        <f>"42068420011215902X"</f>
        <v>42068420011215902X</v>
      </c>
      <c r="D6541" t="str">
        <f>"248030100325"</f>
        <v>248030100325</v>
      </c>
      <c r="L6541">
        <v>8377</v>
      </c>
      <c r="M6541" t="s">
        <v>6775</v>
      </c>
      <c r="N6541" t="str">
        <f>"248030100325"</f>
        <v>248030100325</v>
      </c>
      <c r="O6541" t="str">
        <f>"42068420011215902X"</f>
        <v>42068420011215902X</v>
      </c>
    </row>
    <row r="6542" customFormat="1" spans="1:15">
      <c r="A6542">
        <v>8378</v>
      </c>
      <c r="B6542" t="s">
        <v>6776</v>
      </c>
      <c r="C6542" t="str">
        <f>"429006200010195122"</f>
        <v>429006200010195122</v>
      </c>
      <c r="D6542" t="str">
        <f>"248030102308"</f>
        <v>248030102308</v>
      </c>
      <c r="L6542">
        <v>8378</v>
      </c>
      <c r="M6542" t="s">
        <v>6776</v>
      </c>
      <c r="N6542" t="str">
        <f>"248030102308"</f>
        <v>248030102308</v>
      </c>
      <c r="O6542" t="str">
        <f>"429006200010195122"</f>
        <v>429006200010195122</v>
      </c>
    </row>
    <row r="6543" customFormat="1" spans="1:15">
      <c r="A6543">
        <v>8380</v>
      </c>
      <c r="B6543" t="s">
        <v>6777</v>
      </c>
      <c r="C6543" t="str">
        <f>"232301198606071326"</f>
        <v>232301198606071326</v>
      </c>
      <c r="D6543" t="str">
        <f>"248030502703"</f>
        <v>248030502703</v>
      </c>
      <c r="L6543">
        <v>8380</v>
      </c>
      <c r="M6543" t="s">
        <v>6777</v>
      </c>
      <c r="N6543" t="str">
        <f>"248030502703"</f>
        <v>248030502703</v>
      </c>
      <c r="O6543" t="str">
        <f>"232301198606071326"</f>
        <v>232301198606071326</v>
      </c>
    </row>
    <row r="6544" customFormat="1" spans="1:15">
      <c r="A6544">
        <v>8381</v>
      </c>
      <c r="B6544" t="s">
        <v>6778</v>
      </c>
      <c r="C6544" t="str">
        <f>"460027200204240623"</f>
        <v>460027200204240623</v>
      </c>
      <c r="D6544" t="str">
        <f>"248030101602"</f>
        <v>248030101602</v>
      </c>
      <c r="L6544">
        <v>8381</v>
      </c>
      <c r="M6544" t="s">
        <v>6778</v>
      </c>
      <c r="N6544" t="str">
        <f>"248030101602"</f>
        <v>248030101602</v>
      </c>
      <c r="O6544" t="str">
        <f>"460027200204240623"</f>
        <v>460027200204240623</v>
      </c>
    </row>
    <row r="6545" customFormat="1" spans="1:15">
      <c r="A6545">
        <v>8382</v>
      </c>
      <c r="B6545" t="s">
        <v>6779</v>
      </c>
      <c r="C6545" t="str">
        <f>"460300200211060029"</f>
        <v>460300200211060029</v>
      </c>
      <c r="D6545" t="str">
        <f>"248030500808"</f>
        <v>248030500808</v>
      </c>
      <c r="L6545">
        <v>8382</v>
      </c>
      <c r="M6545" t="s">
        <v>6779</v>
      </c>
      <c r="N6545" t="str">
        <f>"248030500808"</f>
        <v>248030500808</v>
      </c>
      <c r="O6545" t="str">
        <f>"460300200211060029"</f>
        <v>460300200211060029</v>
      </c>
    </row>
    <row r="6546" customFormat="1" spans="1:15">
      <c r="A6546">
        <v>8384</v>
      </c>
      <c r="B6546" t="s">
        <v>6780</v>
      </c>
      <c r="C6546" t="str">
        <f>"411324198611175821"</f>
        <v>411324198611175821</v>
      </c>
      <c r="L6546">
        <v>8384</v>
      </c>
      <c r="M6546" t="s">
        <v>6780</v>
      </c>
      <c r="O6546" t="str">
        <f>"411324198611175821"</f>
        <v>411324198611175821</v>
      </c>
    </row>
    <row r="6547" customFormat="1" spans="1:15">
      <c r="A6547">
        <v>8385</v>
      </c>
      <c r="B6547" t="s">
        <v>6781</v>
      </c>
      <c r="C6547" t="str">
        <f>"511321198711111715"</f>
        <v>511321198711111715</v>
      </c>
      <c r="L6547">
        <v>8385</v>
      </c>
      <c r="M6547" t="s">
        <v>6781</v>
      </c>
      <c r="O6547" t="str">
        <f>"511321198711111715"</f>
        <v>511321198711111715</v>
      </c>
    </row>
    <row r="6548" customFormat="1" spans="1:15">
      <c r="A6548">
        <v>8386</v>
      </c>
      <c r="B6548" t="s">
        <v>6782</v>
      </c>
      <c r="C6548" t="str">
        <f>"460003199204023243"</f>
        <v>460003199204023243</v>
      </c>
      <c r="D6548" t="str">
        <f>"248030103906"</f>
        <v>248030103906</v>
      </c>
      <c r="L6548">
        <v>8386</v>
      </c>
      <c r="M6548" t="s">
        <v>6782</v>
      </c>
      <c r="N6548" t="str">
        <f>"248030103906"</f>
        <v>248030103906</v>
      </c>
      <c r="O6548" t="str">
        <f>"460003199204023243"</f>
        <v>460003199204023243</v>
      </c>
    </row>
    <row r="6549" customFormat="1" spans="1:15">
      <c r="A6549">
        <v>8388</v>
      </c>
      <c r="B6549" t="s">
        <v>6783</v>
      </c>
      <c r="C6549" t="str">
        <f>"530423199911180024"</f>
        <v>530423199911180024</v>
      </c>
      <c r="D6549" t="str">
        <f>"248030103502"</f>
        <v>248030103502</v>
      </c>
      <c r="L6549">
        <v>8388</v>
      </c>
      <c r="M6549" t="s">
        <v>6783</v>
      </c>
      <c r="N6549" t="str">
        <f>"248030103502"</f>
        <v>248030103502</v>
      </c>
      <c r="O6549" t="str">
        <f>"530423199911180024"</f>
        <v>530423199911180024</v>
      </c>
    </row>
    <row r="6550" customFormat="1" spans="1:15">
      <c r="A6550">
        <v>8389</v>
      </c>
      <c r="B6550" t="s">
        <v>6784</v>
      </c>
      <c r="C6550" t="str">
        <f>"460006199604172327"</f>
        <v>460006199604172327</v>
      </c>
      <c r="L6550">
        <v>8389</v>
      </c>
      <c r="M6550" t="s">
        <v>6784</v>
      </c>
      <c r="O6550" t="str">
        <f>"460006199604172327"</f>
        <v>460006199604172327</v>
      </c>
    </row>
    <row r="6551" customFormat="1" spans="1:15">
      <c r="A6551">
        <v>8393</v>
      </c>
      <c r="B6551" t="s">
        <v>6785</v>
      </c>
      <c r="C6551" t="str">
        <f>"460027199706052619"</f>
        <v>460027199706052619</v>
      </c>
      <c r="D6551" t="str">
        <f>"248030201214"</f>
        <v>248030201214</v>
      </c>
      <c r="L6551">
        <v>8393</v>
      </c>
      <c r="M6551" t="s">
        <v>6785</v>
      </c>
      <c r="N6551" t="str">
        <f>"248030201214"</f>
        <v>248030201214</v>
      </c>
      <c r="O6551" t="str">
        <f>"460027199706052619"</f>
        <v>460027199706052619</v>
      </c>
    </row>
    <row r="6552" customFormat="1" spans="1:15">
      <c r="A6552">
        <v>8394</v>
      </c>
      <c r="B6552" t="s">
        <v>1545</v>
      </c>
      <c r="C6552" t="str">
        <f>"460002199804223824"</f>
        <v>460002199804223824</v>
      </c>
      <c r="L6552">
        <v>8394</v>
      </c>
      <c r="M6552" t="s">
        <v>1545</v>
      </c>
      <c r="O6552" t="str">
        <f>"460002199804223824"</f>
        <v>460002199804223824</v>
      </c>
    </row>
    <row r="6553" customFormat="1" spans="1:15">
      <c r="A6553">
        <v>8395</v>
      </c>
      <c r="B6553" t="s">
        <v>6786</v>
      </c>
      <c r="C6553" t="str">
        <f>"460027199310065114"</f>
        <v>460027199310065114</v>
      </c>
      <c r="L6553">
        <v>8395</v>
      </c>
      <c r="M6553" t="s">
        <v>6786</v>
      </c>
      <c r="O6553" t="str">
        <f>"460027199310065114"</f>
        <v>460027199310065114</v>
      </c>
    </row>
    <row r="6554" customFormat="1" spans="1:15">
      <c r="A6554">
        <v>8396</v>
      </c>
      <c r="B6554" t="s">
        <v>6787</v>
      </c>
      <c r="C6554" t="str">
        <f>"460030199802056925"</f>
        <v>460030199802056925</v>
      </c>
      <c r="D6554" t="str">
        <f>"248030101906"</f>
        <v>248030101906</v>
      </c>
      <c r="L6554">
        <v>8396</v>
      </c>
      <c r="M6554" t="s">
        <v>6787</v>
      </c>
      <c r="N6554" t="str">
        <f>"248030101906"</f>
        <v>248030101906</v>
      </c>
      <c r="O6554" t="str">
        <f>"460030199802056925"</f>
        <v>460030199802056925</v>
      </c>
    </row>
    <row r="6555" customFormat="1" spans="1:15">
      <c r="A6555">
        <v>8397</v>
      </c>
      <c r="B6555" t="s">
        <v>6788</v>
      </c>
      <c r="C6555" t="str">
        <f>"460033199309070028"</f>
        <v>460033199309070028</v>
      </c>
      <c r="D6555" t="str">
        <f>"248030100307"</f>
        <v>248030100307</v>
      </c>
      <c r="L6555">
        <v>8397</v>
      </c>
      <c r="M6555" t="s">
        <v>6788</v>
      </c>
      <c r="N6555" t="str">
        <f>"248030100307"</f>
        <v>248030100307</v>
      </c>
      <c r="O6555" t="str">
        <f>"460033199309070028"</f>
        <v>460033199309070028</v>
      </c>
    </row>
    <row r="6556" customFormat="1" spans="1:15">
      <c r="A6556">
        <v>8399</v>
      </c>
      <c r="B6556" t="s">
        <v>6789</v>
      </c>
      <c r="C6556" t="str">
        <f>"231025198701024927"</f>
        <v>231025198701024927</v>
      </c>
      <c r="D6556" t="str">
        <f>"248030500419"</f>
        <v>248030500419</v>
      </c>
      <c r="L6556">
        <v>8399</v>
      </c>
      <c r="M6556" t="s">
        <v>6789</v>
      </c>
      <c r="N6556" t="str">
        <f>"248030500419"</f>
        <v>248030500419</v>
      </c>
      <c r="O6556" t="str">
        <f>"231025198701024927"</f>
        <v>231025198701024927</v>
      </c>
    </row>
    <row r="6557" customFormat="1" spans="1:15">
      <c r="A6557">
        <v>8401</v>
      </c>
      <c r="B6557" t="s">
        <v>6790</v>
      </c>
      <c r="C6557" t="str">
        <f>"460026199711090920"</f>
        <v>460026199711090920</v>
      </c>
      <c r="L6557">
        <v>8401</v>
      </c>
      <c r="M6557" t="s">
        <v>6790</v>
      </c>
      <c r="O6557" t="str">
        <f>"460026199711090920"</f>
        <v>460026199711090920</v>
      </c>
    </row>
    <row r="6558" customFormat="1" spans="1:15">
      <c r="A6558">
        <v>8402</v>
      </c>
      <c r="B6558" t="s">
        <v>6354</v>
      </c>
      <c r="C6558" t="str">
        <f>"460025199904192126"</f>
        <v>460025199904192126</v>
      </c>
      <c r="D6558" t="str">
        <f>"248030503229"</f>
        <v>248030503229</v>
      </c>
      <c r="L6558">
        <v>8402</v>
      </c>
      <c r="M6558" t="s">
        <v>6354</v>
      </c>
      <c r="N6558" t="str">
        <f>"248030503229"</f>
        <v>248030503229</v>
      </c>
      <c r="O6558" t="str">
        <f>"460025199904192126"</f>
        <v>460025199904192126</v>
      </c>
    </row>
    <row r="6559" customFormat="1" spans="1:15">
      <c r="A6559">
        <v>8403</v>
      </c>
      <c r="B6559" t="s">
        <v>6791</v>
      </c>
      <c r="C6559" t="str">
        <f>"460025200002012128"</f>
        <v>460025200002012128</v>
      </c>
      <c r="D6559" t="str">
        <f>"248030103102"</f>
        <v>248030103102</v>
      </c>
      <c r="L6559">
        <v>8403</v>
      </c>
      <c r="M6559" t="s">
        <v>6791</v>
      </c>
      <c r="N6559" t="str">
        <f>"248030103102"</f>
        <v>248030103102</v>
      </c>
      <c r="O6559" t="str">
        <f>"460025200002012128"</f>
        <v>460025200002012128</v>
      </c>
    </row>
    <row r="6560" customFormat="1" spans="1:15">
      <c r="A6560">
        <v>8404</v>
      </c>
      <c r="B6560" t="s">
        <v>6792</v>
      </c>
      <c r="C6560" t="str">
        <f>"460002200205135625"</f>
        <v>460002200205135625</v>
      </c>
      <c r="D6560" t="str">
        <f>"248030201630"</f>
        <v>248030201630</v>
      </c>
      <c r="L6560">
        <v>8404</v>
      </c>
      <c r="M6560" t="s">
        <v>6792</v>
      </c>
      <c r="N6560" t="str">
        <f>"248030201630"</f>
        <v>248030201630</v>
      </c>
      <c r="O6560" t="str">
        <f>"460002200205135625"</f>
        <v>460002200205135625</v>
      </c>
    </row>
    <row r="6561" customFormat="1" spans="1:15">
      <c r="A6561">
        <v>8405</v>
      </c>
      <c r="B6561" t="s">
        <v>6793</v>
      </c>
      <c r="C6561" t="str">
        <f>"460036199708240425"</f>
        <v>460036199708240425</v>
      </c>
      <c r="L6561">
        <v>8405</v>
      </c>
      <c r="M6561" t="s">
        <v>6793</v>
      </c>
      <c r="O6561" t="str">
        <f>"460036199708240425"</f>
        <v>460036199708240425</v>
      </c>
    </row>
    <row r="6562" customFormat="1" spans="1:15">
      <c r="A6562">
        <v>8406</v>
      </c>
      <c r="B6562" t="s">
        <v>6794</v>
      </c>
      <c r="C6562" t="str">
        <f>"460006200204011642"</f>
        <v>460006200204011642</v>
      </c>
      <c r="D6562" t="str">
        <f>"248030200601"</f>
        <v>248030200601</v>
      </c>
      <c r="L6562">
        <v>8406</v>
      </c>
      <c r="M6562" t="s">
        <v>6794</v>
      </c>
      <c r="N6562" t="str">
        <f>"248030200601"</f>
        <v>248030200601</v>
      </c>
      <c r="O6562" t="str">
        <f>"460006200204011642"</f>
        <v>460006200204011642</v>
      </c>
    </row>
    <row r="6563" customFormat="1" spans="1:15">
      <c r="A6563">
        <v>8407</v>
      </c>
      <c r="B6563" t="s">
        <v>6795</v>
      </c>
      <c r="C6563" t="str">
        <f>"610521199111144909"</f>
        <v>610521199111144909</v>
      </c>
      <c r="D6563" t="str">
        <f>"248030400420"</f>
        <v>248030400420</v>
      </c>
      <c r="L6563">
        <v>8407</v>
      </c>
      <c r="M6563" t="s">
        <v>6795</v>
      </c>
      <c r="N6563" t="str">
        <f>"248030400420"</f>
        <v>248030400420</v>
      </c>
      <c r="O6563" t="str">
        <f>"610521199111144909"</f>
        <v>610521199111144909</v>
      </c>
    </row>
    <row r="6564" customFormat="1" spans="1:15">
      <c r="A6564">
        <v>8408</v>
      </c>
      <c r="B6564" t="s">
        <v>6796</v>
      </c>
      <c r="C6564" t="str">
        <f>"320322199704267329"</f>
        <v>320322199704267329</v>
      </c>
      <c r="D6564" t="str">
        <f>"248030403716"</f>
        <v>248030403716</v>
      </c>
      <c r="L6564">
        <v>8408</v>
      </c>
      <c r="M6564" t="s">
        <v>6796</v>
      </c>
      <c r="N6564" t="str">
        <f>"248030403716"</f>
        <v>248030403716</v>
      </c>
      <c r="O6564" t="str">
        <f>"320322199704267329"</f>
        <v>320322199704267329</v>
      </c>
    </row>
    <row r="6565" customFormat="1" spans="1:15">
      <c r="A6565">
        <v>8410</v>
      </c>
      <c r="B6565" t="s">
        <v>6797</v>
      </c>
      <c r="C6565" t="str">
        <f>"460031199208185261"</f>
        <v>460031199208185261</v>
      </c>
      <c r="L6565">
        <v>8410</v>
      </c>
      <c r="M6565" t="s">
        <v>6797</v>
      </c>
      <c r="O6565" t="str">
        <f>"460031199208185261"</f>
        <v>460031199208185261</v>
      </c>
    </row>
    <row r="6566" customFormat="1" spans="1:15">
      <c r="A6566">
        <v>8411</v>
      </c>
      <c r="B6566" t="s">
        <v>6798</v>
      </c>
      <c r="C6566" t="str">
        <f>"460003200011223228"</f>
        <v>460003200011223228</v>
      </c>
      <c r="L6566">
        <v>8411</v>
      </c>
      <c r="M6566" t="s">
        <v>6798</v>
      </c>
      <c r="O6566" t="str">
        <f>"460003200011223228"</f>
        <v>460003200011223228</v>
      </c>
    </row>
    <row r="6567" customFormat="1" spans="1:15">
      <c r="A6567">
        <v>8412</v>
      </c>
      <c r="B6567" t="s">
        <v>6799</v>
      </c>
      <c r="C6567" t="str">
        <f>"460002200211122521"</f>
        <v>460002200211122521</v>
      </c>
      <c r="D6567" t="str">
        <f>"248030102324"</f>
        <v>248030102324</v>
      </c>
      <c r="L6567">
        <v>8412</v>
      </c>
      <c r="M6567" t="s">
        <v>6799</v>
      </c>
      <c r="N6567" t="str">
        <f>"248030102324"</f>
        <v>248030102324</v>
      </c>
      <c r="O6567" t="str">
        <f>"460002200211122521"</f>
        <v>460002200211122521</v>
      </c>
    </row>
    <row r="6568" customFormat="1" spans="1:15">
      <c r="A6568">
        <v>8413</v>
      </c>
      <c r="B6568" t="s">
        <v>6800</v>
      </c>
      <c r="C6568" t="str">
        <f>"340827199710020026"</f>
        <v>340827199710020026</v>
      </c>
      <c r="D6568" t="str">
        <f>"248030502518"</f>
        <v>248030502518</v>
      </c>
      <c r="L6568">
        <v>8413</v>
      </c>
      <c r="M6568" t="s">
        <v>6800</v>
      </c>
      <c r="N6568" t="str">
        <f>"248030502518"</f>
        <v>248030502518</v>
      </c>
      <c r="O6568" t="str">
        <f>"340827199710020026"</f>
        <v>340827199710020026</v>
      </c>
    </row>
    <row r="6569" customFormat="1" spans="1:15">
      <c r="A6569">
        <v>8415</v>
      </c>
      <c r="B6569" t="s">
        <v>6801</v>
      </c>
      <c r="C6569" t="str">
        <f>"460005200002080336"</f>
        <v>460005200002080336</v>
      </c>
      <c r="L6569">
        <v>8415</v>
      </c>
      <c r="M6569" t="s">
        <v>6801</v>
      </c>
      <c r="O6569" t="str">
        <f>"460005200002080336"</f>
        <v>460005200002080336</v>
      </c>
    </row>
    <row r="6570" customFormat="1" spans="1:15">
      <c r="A6570">
        <v>8417</v>
      </c>
      <c r="B6570" t="s">
        <v>6802</v>
      </c>
      <c r="C6570" t="str">
        <f>"460103200106172422"</f>
        <v>460103200106172422</v>
      </c>
      <c r="D6570" t="str">
        <f>"248030504008"</f>
        <v>248030504008</v>
      </c>
      <c r="L6570">
        <v>8417</v>
      </c>
      <c r="M6570" t="s">
        <v>6802</v>
      </c>
      <c r="N6570" t="str">
        <f>"248030504008"</f>
        <v>248030504008</v>
      </c>
      <c r="O6570" t="str">
        <f>"460103200106172422"</f>
        <v>460103200106172422</v>
      </c>
    </row>
    <row r="6571" customFormat="1" spans="1:15">
      <c r="A6571">
        <v>8418</v>
      </c>
      <c r="B6571" t="s">
        <v>6803</v>
      </c>
      <c r="C6571" t="str">
        <f>"460027199801051323"</f>
        <v>460027199801051323</v>
      </c>
      <c r="D6571" t="str">
        <f>"248030400214"</f>
        <v>248030400214</v>
      </c>
      <c r="L6571">
        <v>8418</v>
      </c>
      <c r="M6571" t="s">
        <v>6803</v>
      </c>
      <c r="N6571" t="str">
        <f>"248030400214"</f>
        <v>248030400214</v>
      </c>
      <c r="O6571" t="str">
        <f>"460027199801051323"</f>
        <v>460027199801051323</v>
      </c>
    </row>
    <row r="6572" customFormat="1" spans="1:15">
      <c r="A6572">
        <v>8420</v>
      </c>
      <c r="B6572" t="s">
        <v>6804</v>
      </c>
      <c r="C6572" t="str">
        <f>"460031199808215225"</f>
        <v>460031199808215225</v>
      </c>
      <c r="D6572" t="str">
        <f>"248030302204"</f>
        <v>248030302204</v>
      </c>
      <c r="L6572">
        <v>8420</v>
      </c>
      <c r="M6572" t="s">
        <v>6804</v>
      </c>
      <c r="N6572" t="str">
        <f>"248030302204"</f>
        <v>248030302204</v>
      </c>
      <c r="O6572" t="str">
        <f>"460031199808215225"</f>
        <v>460031199808215225</v>
      </c>
    </row>
    <row r="6573" customFormat="1" spans="1:15">
      <c r="A6573">
        <v>8421</v>
      </c>
      <c r="B6573" t="s">
        <v>6805</v>
      </c>
      <c r="C6573" t="str">
        <f>"460003199311267024"</f>
        <v>460003199311267024</v>
      </c>
      <c r="D6573" t="str">
        <f>"248030100826"</f>
        <v>248030100826</v>
      </c>
      <c r="L6573">
        <v>8421</v>
      </c>
      <c r="M6573" t="s">
        <v>6805</v>
      </c>
      <c r="N6573" t="str">
        <f>"248030100826"</f>
        <v>248030100826</v>
      </c>
      <c r="O6573" t="str">
        <f>"460003199311267024"</f>
        <v>460003199311267024</v>
      </c>
    </row>
    <row r="6574" customFormat="1" spans="1:15">
      <c r="A6574">
        <v>8422</v>
      </c>
      <c r="B6574" t="s">
        <v>6806</v>
      </c>
      <c r="C6574" t="str">
        <f>"422801199911110018"</f>
        <v>422801199911110018</v>
      </c>
      <c r="L6574">
        <v>8422</v>
      </c>
      <c r="M6574" t="s">
        <v>6806</v>
      </c>
      <c r="O6574" t="str">
        <f>"422801199911110018"</f>
        <v>422801199911110018</v>
      </c>
    </row>
    <row r="6575" customFormat="1" spans="1:15">
      <c r="A6575">
        <v>8424</v>
      </c>
      <c r="B6575" t="s">
        <v>6807</v>
      </c>
      <c r="C6575" t="str">
        <f>"460006199901051644"</f>
        <v>460006199901051644</v>
      </c>
      <c r="D6575" t="str">
        <f>"248030501820"</f>
        <v>248030501820</v>
      </c>
      <c r="L6575">
        <v>8424</v>
      </c>
      <c r="M6575" t="s">
        <v>6807</v>
      </c>
      <c r="N6575" t="str">
        <f>"248030501820"</f>
        <v>248030501820</v>
      </c>
      <c r="O6575" t="str">
        <f>"460006199901051644"</f>
        <v>460006199901051644</v>
      </c>
    </row>
    <row r="6576" customFormat="1" spans="1:15">
      <c r="A6576">
        <v>8425</v>
      </c>
      <c r="B6576" t="s">
        <v>6808</v>
      </c>
      <c r="C6576" t="str">
        <f>"469005200202021021"</f>
        <v>469005200202021021</v>
      </c>
      <c r="D6576" t="str">
        <f>"248030500601"</f>
        <v>248030500601</v>
      </c>
      <c r="L6576">
        <v>8425</v>
      </c>
      <c r="M6576" t="s">
        <v>6808</v>
      </c>
      <c r="N6576" t="str">
        <f>"248030500601"</f>
        <v>248030500601</v>
      </c>
      <c r="O6576" t="str">
        <f>"469005200202021021"</f>
        <v>469005200202021021</v>
      </c>
    </row>
    <row r="6577" customFormat="1" spans="1:15">
      <c r="A6577">
        <v>8426</v>
      </c>
      <c r="B6577" t="s">
        <v>6809</v>
      </c>
      <c r="C6577" t="str">
        <f>"460004200203044423"</f>
        <v>460004200203044423</v>
      </c>
      <c r="D6577" t="str">
        <f>"248030102216"</f>
        <v>248030102216</v>
      </c>
      <c r="L6577">
        <v>8426</v>
      </c>
      <c r="M6577" t="s">
        <v>6809</v>
      </c>
      <c r="N6577" t="str">
        <f>"248030102216"</f>
        <v>248030102216</v>
      </c>
      <c r="O6577" t="str">
        <f>"460004200203044423"</f>
        <v>460004200203044423</v>
      </c>
    </row>
    <row r="6578" customFormat="1" spans="1:15">
      <c r="A6578">
        <v>8427</v>
      </c>
      <c r="B6578" t="s">
        <v>6810</v>
      </c>
      <c r="C6578" t="str">
        <f>"460022199704303216"</f>
        <v>460022199704303216</v>
      </c>
      <c r="D6578" t="str">
        <f>"248030201321"</f>
        <v>248030201321</v>
      </c>
      <c r="L6578">
        <v>8427</v>
      </c>
      <c r="M6578" t="s">
        <v>6810</v>
      </c>
      <c r="N6578" t="str">
        <f>"248030201321"</f>
        <v>248030201321</v>
      </c>
      <c r="O6578" t="str">
        <f>"460022199704303216"</f>
        <v>460022199704303216</v>
      </c>
    </row>
    <row r="6579" customFormat="1" spans="1:15">
      <c r="A6579">
        <v>8429</v>
      </c>
      <c r="B6579" t="s">
        <v>6811</v>
      </c>
      <c r="C6579" t="str">
        <f>"460006198606112729"</f>
        <v>460006198606112729</v>
      </c>
      <c r="D6579" t="str">
        <f>"248030100415"</f>
        <v>248030100415</v>
      </c>
      <c r="L6579">
        <v>8429</v>
      </c>
      <c r="M6579" t="s">
        <v>6811</v>
      </c>
      <c r="N6579" t="str">
        <f>"248030100415"</f>
        <v>248030100415</v>
      </c>
      <c r="O6579" t="str">
        <f>"460006198606112729"</f>
        <v>460006198606112729</v>
      </c>
    </row>
    <row r="6580" customFormat="1" spans="1:15">
      <c r="A6580">
        <v>8430</v>
      </c>
      <c r="B6580" t="s">
        <v>6812</v>
      </c>
      <c r="C6580" t="str">
        <f>"460006200203267224"</f>
        <v>460006200203267224</v>
      </c>
      <c r="D6580" t="str">
        <f>"248030202920"</f>
        <v>248030202920</v>
      </c>
      <c r="L6580">
        <v>8430</v>
      </c>
      <c r="M6580" t="s">
        <v>6812</v>
      </c>
      <c r="N6580" t="str">
        <f>"248030202920"</f>
        <v>248030202920</v>
      </c>
      <c r="O6580" t="str">
        <f>"460006200203267224"</f>
        <v>460006200203267224</v>
      </c>
    </row>
    <row r="6581" customFormat="1" spans="1:15">
      <c r="A6581">
        <v>8432</v>
      </c>
      <c r="B6581" t="s">
        <v>6813</v>
      </c>
      <c r="C6581" t="str">
        <f>"460033199204199802"</f>
        <v>460033199204199802</v>
      </c>
      <c r="D6581" t="str">
        <f>"248030102125"</f>
        <v>248030102125</v>
      </c>
      <c r="L6581">
        <v>8432</v>
      </c>
      <c r="M6581" t="s">
        <v>6813</v>
      </c>
      <c r="N6581" t="str">
        <f>"248030102125"</f>
        <v>248030102125</v>
      </c>
      <c r="O6581" t="str">
        <f>"460033199204199802"</f>
        <v>460033199204199802</v>
      </c>
    </row>
    <row r="6582" customFormat="1" spans="1:15">
      <c r="A6582">
        <v>8433</v>
      </c>
      <c r="B6582" t="s">
        <v>6814</v>
      </c>
      <c r="C6582" t="str">
        <f>"460027199608072624"</f>
        <v>460027199608072624</v>
      </c>
      <c r="D6582" t="str">
        <f>"248030504228"</f>
        <v>248030504228</v>
      </c>
      <c r="L6582">
        <v>8433</v>
      </c>
      <c r="M6582" t="s">
        <v>6814</v>
      </c>
      <c r="N6582" t="str">
        <f>"248030504228"</f>
        <v>248030504228</v>
      </c>
      <c r="O6582" t="str">
        <f>"460027199608072624"</f>
        <v>460027199608072624</v>
      </c>
    </row>
    <row r="6583" customFormat="1" spans="1:15">
      <c r="A6583">
        <v>8434</v>
      </c>
      <c r="B6583" t="s">
        <v>6815</v>
      </c>
      <c r="C6583" t="str">
        <f>"460004200001154624"</f>
        <v>460004200001154624</v>
      </c>
      <c r="D6583" t="str">
        <f>"248030503903"</f>
        <v>248030503903</v>
      </c>
      <c r="L6583">
        <v>8434</v>
      </c>
      <c r="M6583" t="s">
        <v>6815</v>
      </c>
      <c r="N6583" t="str">
        <f>"248030503903"</f>
        <v>248030503903</v>
      </c>
      <c r="O6583" t="str">
        <f>"460004200001154624"</f>
        <v>460004200001154624</v>
      </c>
    </row>
    <row r="6584" customFormat="1" spans="1:15">
      <c r="A6584">
        <v>8435</v>
      </c>
      <c r="B6584" t="s">
        <v>6816</v>
      </c>
      <c r="C6584" t="str">
        <f>"460003200008037424"</f>
        <v>460003200008037424</v>
      </c>
      <c r="D6584" t="str">
        <f>"248030300824"</f>
        <v>248030300824</v>
      </c>
      <c r="L6584">
        <v>8435</v>
      </c>
      <c r="M6584" t="s">
        <v>6816</v>
      </c>
      <c r="N6584" t="str">
        <f>"248030300824"</f>
        <v>248030300824</v>
      </c>
      <c r="O6584" t="str">
        <f>"460003200008037424"</f>
        <v>460003200008037424</v>
      </c>
    </row>
    <row r="6585" customFormat="1" spans="1:15">
      <c r="A6585">
        <v>8437</v>
      </c>
      <c r="B6585" t="s">
        <v>6817</v>
      </c>
      <c r="C6585" t="str">
        <f>"460006199605071624"</f>
        <v>460006199605071624</v>
      </c>
      <c r="D6585" t="str">
        <f>"248030301713"</f>
        <v>248030301713</v>
      </c>
      <c r="L6585">
        <v>8437</v>
      </c>
      <c r="M6585" t="s">
        <v>6817</v>
      </c>
      <c r="N6585" t="str">
        <f>"248030301713"</f>
        <v>248030301713</v>
      </c>
      <c r="O6585" t="str">
        <f>"460006199605071624"</f>
        <v>460006199605071624</v>
      </c>
    </row>
    <row r="6586" customFormat="1" spans="1:15">
      <c r="A6586">
        <v>8438</v>
      </c>
      <c r="B6586" t="s">
        <v>6818</v>
      </c>
      <c r="C6586" t="str">
        <f>"469003200201106725"</f>
        <v>469003200201106725</v>
      </c>
      <c r="D6586" t="str">
        <f>"248030103815"</f>
        <v>248030103815</v>
      </c>
      <c r="L6586">
        <v>8438</v>
      </c>
      <c r="M6586" t="s">
        <v>6818</v>
      </c>
      <c r="N6586" t="str">
        <f>"248030103815"</f>
        <v>248030103815</v>
      </c>
      <c r="O6586" t="str">
        <f>"469003200201106725"</f>
        <v>469003200201106725</v>
      </c>
    </row>
    <row r="6587" customFormat="1" spans="1:15">
      <c r="A6587">
        <v>8439</v>
      </c>
      <c r="B6587" t="s">
        <v>6819</v>
      </c>
      <c r="C6587" t="str">
        <f>"46000620001224314X"</f>
        <v>46000620001224314X</v>
      </c>
      <c r="D6587" t="str">
        <f>"248030500322"</f>
        <v>248030500322</v>
      </c>
      <c r="L6587">
        <v>8439</v>
      </c>
      <c r="M6587" t="s">
        <v>6819</v>
      </c>
      <c r="N6587" t="str">
        <f>"248030500322"</f>
        <v>248030500322</v>
      </c>
      <c r="O6587" t="str">
        <f>"46000620001224314X"</f>
        <v>46000620001224314X</v>
      </c>
    </row>
    <row r="6588" customFormat="1" spans="1:15">
      <c r="A6588">
        <v>8440</v>
      </c>
      <c r="B6588" t="s">
        <v>6820</v>
      </c>
      <c r="C6588" t="str">
        <f>"469005200110094821"</f>
        <v>469005200110094821</v>
      </c>
      <c r="L6588">
        <v>8440</v>
      </c>
      <c r="M6588" t="s">
        <v>6820</v>
      </c>
      <c r="O6588" t="str">
        <f>"469005200110094821"</f>
        <v>469005200110094821</v>
      </c>
    </row>
    <row r="6589" customFormat="1" spans="1:15">
      <c r="A6589">
        <v>8441</v>
      </c>
      <c r="B6589" t="s">
        <v>6821</v>
      </c>
      <c r="C6589" t="str">
        <f>"141125200301200024"</f>
        <v>141125200301200024</v>
      </c>
      <c r="D6589" t="str">
        <f>"248030302313"</f>
        <v>248030302313</v>
      </c>
      <c r="L6589">
        <v>8441</v>
      </c>
      <c r="M6589" t="s">
        <v>6821</v>
      </c>
      <c r="N6589" t="str">
        <f>"248030302313"</f>
        <v>248030302313</v>
      </c>
      <c r="O6589" t="str">
        <f>"141125200301200024"</f>
        <v>141125200301200024</v>
      </c>
    </row>
    <row r="6590" customFormat="1" spans="1:15">
      <c r="A6590">
        <v>8442</v>
      </c>
      <c r="B6590" t="s">
        <v>6822</v>
      </c>
      <c r="C6590" t="str">
        <f>"469003199508126725"</f>
        <v>469003199508126725</v>
      </c>
      <c r="L6590">
        <v>8442</v>
      </c>
      <c r="M6590" t="s">
        <v>6822</v>
      </c>
      <c r="O6590" t="str">
        <f>"469003199508126725"</f>
        <v>469003199508126725</v>
      </c>
    </row>
    <row r="6591" customFormat="1" spans="1:15">
      <c r="A6591">
        <v>8443</v>
      </c>
      <c r="B6591" t="s">
        <v>6823</v>
      </c>
      <c r="C6591" t="str">
        <f>"460006199909218728"</f>
        <v>460006199909218728</v>
      </c>
      <c r="L6591">
        <v>8443</v>
      </c>
      <c r="M6591" t="s">
        <v>6823</v>
      </c>
      <c r="O6591" t="str">
        <f>"460006199909218728"</f>
        <v>460006199909218728</v>
      </c>
    </row>
    <row r="6592" customFormat="1" spans="1:15">
      <c r="A6592">
        <v>8444</v>
      </c>
      <c r="B6592" t="s">
        <v>5914</v>
      </c>
      <c r="C6592" t="str">
        <f>"460200199209184902"</f>
        <v>460200199209184902</v>
      </c>
      <c r="L6592">
        <v>8444</v>
      </c>
      <c r="M6592" t="s">
        <v>5914</v>
      </c>
      <c r="O6592" t="str">
        <f>"460200199209184902"</f>
        <v>460200199209184902</v>
      </c>
    </row>
    <row r="6593" customFormat="1" spans="1:15">
      <c r="A6593">
        <v>8446</v>
      </c>
      <c r="B6593" t="s">
        <v>542</v>
      </c>
      <c r="C6593" t="str">
        <f>"640302199903100344"</f>
        <v>640302199903100344</v>
      </c>
      <c r="D6593" t="str">
        <f>"248030403425"</f>
        <v>248030403425</v>
      </c>
      <c r="L6593">
        <v>8446</v>
      </c>
      <c r="M6593" t="s">
        <v>542</v>
      </c>
      <c r="N6593" t="str">
        <f>"248030403425"</f>
        <v>248030403425</v>
      </c>
      <c r="O6593" t="str">
        <f>"640302199903100344"</f>
        <v>640302199903100344</v>
      </c>
    </row>
    <row r="6594" customFormat="1" spans="1:15">
      <c r="A6594">
        <v>8447</v>
      </c>
      <c r="B6594" t="s">
        <v>6824</v>
      </c>
      <c r="C6594" t="str">
        <f>"460034200001123324"</f>
        <v>460034200001123324</v>
      </c>
      <c r="L6594">
        <v>8447</v>
      </c>
      <c r="M6594" t="s">
        <v>6824</v>
      </c>
      <c r="O6594" t="str">
        <f>"460034200001123324"</f>
        <v>460034200001123324</v>
      </c>
    </row>
    <row r="6595" customFormat="1" spans="1:15">
      <c r="A6595">
        <v>8448</v>
      </c>
      <c r="B6595" t="s">
        <v>6825</v>
      </c>
      <c r="C6595" t="str">
        <f>"460005200205285139"</f>
        <v>460005200205285139</v>
      </c>
      <c r="L6595">
        <v>8448</v>
      </c>
      <c r="M6595" t="s">
        <v>6825</v>
      </c>
      <c r="O6595" t="str">
        <f>"460005200205285139"</f>
        <v>460005200205285139</v>
      </c>
    </row>
    <row r="6596" customFormat="1" spans="1:15">
      <c r="A6596">
        <v>8450</v>
      </c>
      <c r="B6596" t="s">
        <v>6826</v>
      </c>
      <c r="C6596" t="str">
        <f>"431127199703240260"</f>
        <v>431127199703240260</v>
      </c>
      <c r="L6596">
        <v>8450</v>
      </c>
      <c r="M6596" t="s">
        <v>6826</v>
      </c>
      <c r="O6596" t="str">
        <f>"431127199703240260"</f>
        <v>431127199703240260</v>
      </c>
    </row>
    <row r="6597" customFormat="1" spans="1:15">
      <c r="A6597">
        <v>8454</v>
      </c>
      <c r="B6597" t="s">
        <v>6827</v>
      </c>
      <c r="C6597" t="str">
        <f>"460102200209030623"</f>
        <v>460102200209030623</v>
      </c>
      <c r="D6597" t="str">
        <f>"248030301204"</f>
        <v>248030301204</v>
      </c>
      <c r="L6597">
        <v>8454</v>
      </c>
      <c r="M6597" t="s">
        <v>6827</v>
      </c>
      <c r="N6597" t="str">
        <f>"248030301204"</f>
        <v>248030301204</v>
      </c>
      <c r="O6597" t="str">
        <f>"460102200209030623"</f>
        <v>460102200209030623</v>
      </c>
    </row>
    <row r="6598" customFormat="1" spans="1:15">
      <c r="A6598">
        <v>8455</v>
      </c>
      <c r="B6598" t="s">
        <v>6828</v>
      </c>
      <c r="C6598" t="str">
        <f>"469027200106114883"</f>
        <v>469027200106114883</v>
      </c>
      <c r="D6598" t="str">
        <f>"248030101027"</f>
        <v>248030101027</v>
      </c>
      <c r="L6598">
        <v>8455</v>
      </c>
      <c r="M6598" t="s">
        <v>6828</v>
      </c>
      <c r="N6598" t="str">
        <f>"248030101027"</f>
        <v>248030101027</v>
      </c>
      <c r="O6598" t="str">
        <f>"469027200106114883"</f>
        <v>469027200106114883</v>
      </c>
    </row>
    <row r="6599" customFormat="1" spans="1:15">
      <c r="A6599">
        <v>8456</v>
      </c>
      <c r="B6599" t="s">
        <v>6829</v>
      </c>
      <c r="C6599" t="str">
        <f>"460028199910072429"</f>
        <v>460028199910072429</v>
      </c>
      <c r="D6599" t="str">
        <f>"248030401619"</f>
        <v>248030401619</v>
      </c>
      <c r="L6599">
        <v>8456</v>
      </c>
      <c r="M6599" t="s">
        <v>6829</v>
      </c>
      <c r="N6599" t="str">
        <f>"248030401619"</f>
        <v>248030401619</v>
      </c>
      <c r="O6599" t="str">
        <f>"460028199910072429"</f>
        <v>460028199910072429</v>
      </c>
    </row>
    <row r="6600" customFormat="1" spans="1:15">
      <c r="A6600">
        <v>8457</v>
      </c>
      <c r="B6600" t="s">
        <v>6830</v>
      </c>
      <c r="C6600" t="str">
        <f>"460004199502276421"</f>
        <v>460004199502276421</v>
      </c>
      <c r="D6600" t="str">
        <f>"248030502514"</f>
        <v>248030502514</v>
      </c>
      <c r="L6600">
        <v>8457</v>
      </c>
      <c r="M6600" t="s">
        <v>6830</v>
      </c>
      <c r="N6600" t="str">
        <f>"248030502514"</f>
        <v>248030502514</v>
      </c>
      <c r="O6600" t="str">
        <f>"460004199502276421"</f>
        <v>460004199502276421</v>
      </c>
    </row>
    <row r="6601" customFormat="1" spans="1:15">
      <c r="A6601">
        <v>8459</v>
      </c>
      <c r="B6601" t="s">
        <v>6831</v>
      </c>
      <c r="C6601" t="str">
        <f>"460300200006060038"</f>
        <v>460300200006060038</v>
      </c>
      <c r="D6601" t="str">
        <f>"248030101809"</f>
        <v>248030101809</v>
      </c>
      <c r="L6601">
        <v>8459</v>
      </c>
      <c r="M6601" t="s">
        <v>6831</v>
      </c>
      <c r="N6601" t="str">
        <f>"248030101809"</f>
        <v>248030101809</v>
      </c>
      <c r="O6601" t="str">
        <f>"460300200006060038"</f>
        <v>460300200006060038</v>
      </c>
    </row>
    <row r="6602" customFormat="1" spans="1:15">
      <c r="A6602">
        <v>8460</v>
      </c>
      <c r="B6602" t="s">
        <v>6832</v>
      </c>
      <c r="C6602" t="str">
        <f>"411023200205126028"</f>
        <v>411023200205126028</v>
      </c>
      <c r="D6602" t="str">
        <f>"248030203705"</f>
        <v>248030203705</v>
      </c>
      <c r="L6602">
        <v>8460</v>
      </c>
      <c r="M6602" t="s">
        <v>6832</v>
      </c>
      <c r="N6602" t="str">
        <f>"248030203705"</f>
        <v>248030203705</v>
      </c>
      <c r="O6602" t="str">
        <f>"411023200205126028"</f>
        <v>411023200205126028</v>
      </c>
    </row>
    <row r="6603" customFormat="1" spans="1:15">
      <c r="A6603">
        <v>8461</v>
      </c>
      <c r="B6603" t="s">
        <v>6833</v>
      </c>
      <c r="C6603" t="str">
        <f>"460003199303081692"</f>
        <v>460003199303081692</v>
      </c>
      <c r="L6603">
        <v>8461</v>
      </c>
      <c r="M6603" t="s">
        <v>6833</v>
      </c>
      <c r="O6603" t="str">
        <f>"460003199303081692"</f>
        <v>460003199303081692</v>
      </c>
    </row>
    <row r="6604" customFormat="1" spans="1:15">
      <c r="A6604">
        <v>8462</v>
      </c>
      <c r="B6604" t="s">
        <v>6834</v>
      </c>
      <c r="C6604" t="str">
        <f>"460200199906133828"</f>
        <v>460200199906133828</v>
      </c>
      <c r="D6604" t="str">
        <f>"248030103221"</f>
        <v>248030103221</v>
      </c>
      <c r="L6604">
        <v>8462</v>
      </c>
      <c r="M6604" t="s">
        <v>6834</v>
      </c>
      <c r="N6604" t="str">
        <f>"248030103221"</f>
        <v>248030103221</v>
      </c>
      <c r="O6604" t="str">
        <f>"460200199906133828"</f>
        <v>460200199906133828</v>
      </c>
    </row>
    <row r="6605" customFormat="1" spans="1:15">
      <c r="A6605">
        <v>8463</v>
      </c>
      <c r="B6605" t="s">
        <v>6835</v>
      </c>
      <c r="C6605" t="str">
        <f>"372930200106035615"</f>
        <v>372930200106035615</v>
      </c>
      <c r="D6605" t="str">
        <f>"248030301801"</f>
        <v>248030301801</v>
      </c>
      <c r="L6605">
        <v>8463</v>
      </c>
      <c r="M6605" t="s">
        <v>6835</v>
      </c>
      <c r="N6605" t="str">
        <f>"248030301801"</f>
        <v>248030301801</v>
      </c>
      <c r="O6605" t="str">
        <f>"372930200106035615"</f>
        <v>372930200106035615</v>
      </c>
    </row>
    <row r="6606" customFormat="1" spans="1:15">
      <c r="A6606">
        <v>8464</v>
      </c>
      <c r="B6606" t="s">
        <v>658</v>
      </c>
      <c r="C6606" t="str">
        <f>"460002199306090520"</f>
        <v>460002199306090520</v>
      </c>
      <c r="D6606" t="str">
        <f>"248030502925"</f>
        <v>248030502925</v>
      </c>
      <c r="L6606">
        <v>8464</v>
      </c>
      <c r="M6606" t="s">
        <v>658</v>
      </c>
      <c r="N6606" t="str">
        <f>"248030502925"</f>
        <v>248030502925</v>
      </c>
      <c r="O6606" t="str">
        <f>"460002199306090520"</f>
        <v>460002199306090520</v>
      </c>
    </row>
    <row r="6607" customFormat="1" spans="1:15">
      <c r="A6607">
        <v>8465</v>
      </c>
      <c r="B6607" t="s">
        <v>6836</v>
      </c>
      <c r="C6607" t="str">
        <f>"469003199304232227"</f>
        <v>469003199304232227</v>
      </c>
      <c r="L6607">
        <v>8465</v>
      </c>
      <c r="M6607" t="s">
        <v>6836</v>
      </c>
      <c r="O6607" t="str">
        <f>"469003199304232227"</f>
        <v>469003199304232227</v>
      </c>
    </row>
    <row r="6608" customFormat="1" spans="1:15">
      <c r="A6608">
        <v>8466</v>
      </c>
      <c r="B6608" t="s">
        <v>6837</v>
      </c>
      <c r="C6608" t="str">
        <f>"46000719990602537X"</f>
        <v>46000719990602537X</v>
      </c>
      <c r="L6608">
        <v>8466</v>
      </c>
      <c r="M6608" t="s">
        <v>6837</v>
      </c>
      <c r="O6608" t="str">
        <f>"46000719990602537X"</f>
        <v>46000719990602537X</v>
      </c>
    </row>
    <row r="6609" customFormat="1" spans="1:15">
      <c r="A6609">
        <v>8468</v>
      </c>
      <c r="B6609" t="s">
        <v>2321</v>
      </c>
      <c r="C6609" t="str">
        <f>"469023200210054723"</f>
        <v>469023200210054723</v>
      </c>
      <c r="D6609" t="str">
        <f>"248030101601"</f>
        <v>248030101601</v>
      </c>
      <c r="L6609">
        <v>8468</v>
      </c>
      <c r="M6609" t="s">
        <v>2321</v>
      </c>
      <c r="N6609" t="str">
        <f>"248030101601"</f>
        <v>248030101601</v>
      </c>
      <c r="O6609" t="str">
        <f>"469023200210054723"</f>
        <v>469023200210054723</v>
      </c>
    </row>
    <row r="6610" customFormat="1" spans="1:15">
      <c r="A6610">
        <v>8469</v>
      </c>
      <c r="B6610" t="s">
        <v>1090</v>
      </c>
      <c r="C6610" t="str">
        <f>"460002199908252523"</f>
        <v>460002199908252523</v>
      </c>
      <c r="D6610" t="str">
        <f>"248030500625"</f>
        <v>248030500625</v>
      </c>
      <c r="L6610">
        <v>8469</v>
      </c>
      <c r="M6610" t="s">
        <v>1090</v>
      </c>
      <c r="N6610" t="str">
        <f>"248030500625"</f>
        <v>248030500625</v>
      </c>
      <c r="O6610" t="str">
        <f>"460002199908252523"</f>
        <v>460002199908252523</v>
      </c>
    </row>
    <row r="6611" customFormat="1" spans="1:15">
      <c r="A6611">
        <v>8470</v>
      </c>
      <c r="B6611" t="s">
        <v>6838</v>
      </c>
      <c r="C6611" t="str">
        <f>"469003199409035625"</f>
        <v>469003199409035625</v>
      </c>
      <c r="D6611" t="str">
        <f>"248030102725"</f>
        <v>248030102725</v>
      </c>
      <c r="L6611">
        <v>8470</v>
      </c>
      <c r="M6611" t="s">
        <v>6838</v>
      </c>
      <c r="N6611" t="str">
        <f>"248030102725"</f>
        <v>248030102725</v>
      </c>
      <c r="O6611" t="str">
        <f>"469003199409035625"</f>
        <v>469003199409035625</v>
      </c>
    </row>
    <row r="6612" customFormat="1" spans="1:15">
      <c r="A6612">
        <v>8471</v>
      </c>
      <c r="B6612" t="s">
        <v>6839</v>
      </c>
      <c r="C6612" t="str">
        <f>"460027199806106223"</f>
        <v>460027199806106223</v>
      </c>
      <c r="D6612" t="str">
        <f>"248030500111"</f>
        <v>248030500111</v>
      </c>
      <c r="L6612">
        <v>8471</v>
      </c>
      <c r="M6612" t="s">
        <v>6839</v>
      </c>
      <c r="N6612" t="str">
        <f>"248030500111"</f>
        <v>248030500111</v>
      </c>
      <c r="O6612" t="str">
        <f>"460027199806106223"</f>
        <v>460027199806106223</v>
      </c>
    </row>
    <row r="6613" customFormat="1" spans="1:15">
      <c r="A6613">
        <v>8472</v>
      </c>
      <c r="B6613" t="s">
        <v>6840</v>
      </c>
      <c r="C6613" t="str">
        <f>"469028200011281220"</f>
        <v>469028200011281220</v>
      </c>
      <c r="L6613">
        <v>8472</v>
      </c>
      <c r="M6613" t="s">
        <v>6840</v>
      </c>
      <c r="O6613" t="str">
        <f>"469028200011281220"</f>
        <v>469028200011281220</v>
      </c>
    </row>
    <row r="6614" customFormat="1" spans="1:15">
      <c r="A6614">
        <v>8473</v>
      </c>
      <c r="B6614" t="s">
        <v>6841</v>
      </c>
      <c r="C6614" t="str">
        <f>"460007199401156841"</f>
        <v>460007199401156841</v>
      </c>
      <c r="D6614" t="str">
        <f>"248030203017"</f>
        <v>248030203017</v>
      </c>
      <c r="L6614">
        <v>8473</v>
      </c>
      <c r="M6614" t="s">
        <v>6841</v>
      </c>
      <c r="N6614" t="str">
        <f>"248030203017"</f>
        <v>248030203017</v>
      </c>
      <c r="O6614" t="str">
        <f>"460007199401156841"</f>
        <v>460007199401156841</v>
      </c>
    </row>
    <row r="6615" customFormat="1" spans="1:15">
      <c r="A6615">
        <v>8475</v>
      </c>
      <c r="B6615" t="s">
        <v>6842</v>
      </c>
      <c r="C6615" t="str">
        <f>"460300200111140048"</f>
        <v>460300200111140048</v>
      </c>
      <c r="D6615" t="str">
        <f>"248030101219"</f>
        <v>248030101219</v>
      </c>
      <c r="L6615">
        <v>8475</v>
      </c>
      <c r="M6615" t="s">
        <v>6842</v>
      </c>
      <c r="N6615" t="str">
        <f>"248030101219"</f>
        <v>248030101219</v>
      </c>
      <c r="O6615" t="str">
        <f>"460300200111140048"</f>
        <v>460300200111140048</v>
      </c>
    </row>
    <row r="6616" customFormat="1" spans="1:15">
      <c r="A6616">
        <v>8476</v>
      </c>
      <c r="B6616" t="s">
        <v>6843</v>
      </c>
      <c r="C6616" t="str">
        <f>"460103199009100026"</f>
        <v>460103199009100026</v>
      </c>
      <c r="D6616" t="str">
        <f>"248030301410"</f>
        <v>248030301410</v>
      </c>
      <c r="L6616">
        <v>8476</v>
      </c>
      <c r="M6616" t="s">
        <v>6843</v>
      </c>
      <c r="N6616" t="str">
        <f>"248030301410"</f>
        <v>248030301410</v>
      </c>
      <c r="O6616" t="str">
        <f>"460103199009100026"</f>
        <v>460103199009100026</v>
      </c>
    </row>
    <row r="6617" customFormat="1" spans="1:15">
      <c r="A6617">
        <v>8477</v>
      </c>
      <c r="B6617" t="s">
        <v>6844</v>
      </c>
      <c r="C6617" t="str">
        <f>"450921200201110427"</f>
        <v>450921200201110427</v>
      </c>
      <c r="D6617" t="str">
        <f>"248030403009"</f>
        <v>248030403009</v>
      </c>
      <c r="L6617">
        <v>8477</v>
      </c>
      <c r="M6617" t="s">
        <v>6844</v>
      </c>
      <c r="N6617" t="str">
        <f>"248030403009"</f>
        <v>248030403009</v>
      </c>
      <c r="O6617" t="str">
        <f>"450921200201110427"</f>
        <v>450921200201110427</v>
      </c>
    </row>
    <row r="6618" customFormat="1" spans="1:15">
      <c r="A6618">
        <v>8478</v>
      </c>
      <c r="B6618" t="s">
        <v>6845</v>
      </c>
      <c r="C6618" t="str">
        <f>"41048219941202672X"</f>
        <v>41048219941202672X</v>
      </c>
      <c r="L6618">
        <v>8478</v>
      </c>
      <c r="M6618" t="s">
        <v>6845</v>
      </c>
      <c r="O6618" t="str">
        <f>"41048219941202672X"</f>
        <v>41048219941202672X</v>
      </c>
    </row>
    <row r="6619" customFormat="1" spans="1:15">
      <c r="A6619">
        <v>8479</v>
      </c>
      <c r="B6619" t="s">
        <v>6846</v>
      </c>
      <c r="C6619" t="str">
        <f>"341223199102063922"</f>
        <v>341223199102063922</v>
      </c>
      <c r="L6619">
        <v>8479</v>
      </c>
      <c r="M6619" t="s">
        <v>6846</v>
      </c>
      <c r="O6619" t="str">
        <f>"341223199102063922"</f>
        <v>341223199102063922</v>
      </c>
    </row>
    <row r="6620" customFormat="1" spans="1:15">
      <c r="A6620">
        <v>8480</v>
      </c>
      <c r="B6620" t="s">
        <v>6847</v>
      </c>
      <c r="C6620" t="str">
        <f>"460035199810011526"</f>
        <v>460035199810011526</v>
      </c>
      <c r="D6620" t="str">
        <f>"248030502930"</f>
        <v>248030502930</v>
      </c>
      <c r="L6620">
        <v>8480</v>
      </c>
      <c r="M6620" t="s">
        <v>6847</v>
      </c>
      <c r="N6620" t="str">
        <f>"248030502930"</f>
        <v>248030502930</v>
      </c>
      <c r="O6620" t="str">
        <f>"460035199810011526"</f>
        <v>460035199810011526</v>
      </c>
    </row>
    <row r="6621" customFormat="1" spans="1:15">
      <c r="A6621">
        <v>8481</v>
      </c>
      <c r="B6621" t="s">
        <v>6848</v>
      </c>
      <c r="C6621" t="str">
        <f>"371311200107134428"</f>
        <v>371311200107134428</v>
      </c>
      <c r="D6621" t="str">
        <f>"248030400728"</f>
        <v>248030400728</v>
      </c>
      <c r="L6621">
        <v>8481</v>
      </c>
      <c r="M6621" t="s">
        <v>6848</v>
      </c>
      <c r="N6621" t="str">
        <f>"248030400728"</f>
        <v>248030400728</v>
      </c>
      <c r="O6621" t="str">
        <f>"371311200107134428"</f>
        <v>371311200107134428</v>
      </c>
    </row>
    <row r="6622" customFormat="1" spans="1:15">
      <c r="A6622">
        <v>8483</v>
      </c>
      <c r="B6622" t="s">
        <v>6849</v>
      </c>
      <c r="C6622" t="str">
        <f>"460033199210254863"</f>
        <v>460033199210254863</v>
      </c>
      <c r="L6622">
        <v>8483</v>
      </c>
      <c r="M6622" t="s">
        <v>6849</v>
      </c>
      <c r="O6622" t="str">
        <f>"460033199210254863"</f>
        <v>460033199210254863</v>
      </c>
    </row>
    <row r="6623" customFormat="1" spans="1:15">
      <c r="A6623">
        <v>8484</v>
      </c>
      <c r="B6623" t="s">
        <v>6850</v>
      </c>
      <c r="C6623" t="str">
        <f>"460003199601122827"</f>
        <v>460003199601122827</v>
      </c>
      <c r="L6623">
        <v>8484</v>
      </c>
      <c r="M6623" t="s">
        <v>6850</v>
      </c>
      <c r="O6623" t="str">
        <f>"460003199601122827"</f>
        <v>460003199601122827</v>
      </c>
    </row>
    <row r="6624" customFormat="1" spans="1:15">
      <c r="A6624">
        <v>8486</v>
      </c>
      <c r="B6624" t="s">
        <v>6851</v>
      </c>
      <c r="C6624" t="str">
        <f>"460005199807284541"</f>
        <v>460005199807284541</v>
      </c>
      <c r="D6624" t="str">
        <f>"248030504217"</f>
        <v>248030504217</v>
      </c>
      <c r="L6624">
        <v>8486</v>
      </c>
      <c r="M6624" t="s">
        <v>6851</v>
      </c>
      <c r="N6624" t="str">
        <f>"248030504217"</f>
        <v>248030504217</v>
      </c>
      <c r="O6624" t="str">
        <f>"460005199807284541"</f>
        <v>460005199807284541</v>
      </c>
    </row>
    <row r="6625" customFormat="1" spans="1:15">
      <c r="A6625">
        <v>8487</v>
      </c>
      <c r="B6625" t="s">
        <v>6852</v>
      </c>
      <c r="C6625" t="str">
        <f>"460200199910225127"</f>
        <v>460200199910225127</v>
      </c>
      <c r="D6625" t="str">
        <f>"248030102704"</f>
        <v>248030102704</v>
      </c>
      <c r="L6625">
        <v>8487</v>
      </c>
      <c r="M6625" t="s">
        <v>6852</v>
      </c>
      <c r="N6625" t="str">
        <f>"248030102704"</f>
        <v>248030102704</v>
      </c>
      <c r="O6625" t="str">
        <f>"460200199910225127"</f>
        <v>460200199910225127</v>
      </c>
    </row>
    <row r="6626" customFormat="1" spans="1:15">
      <c r="A6626">
        <v>8488</v>
      </c>
      <c r="B6626" t="s">
        <v>6853</v>
      </c>
      <c r="C6626" t="str">
        <f>"460200200307216328"</f>
        <v>460200200307216328</v>
      </c>
      <c r="D6626" t="str">
        <f>"248030103525"</f>
        <v>248030103525</v>
      </c>
      <c r="L6626">
        <v>8488</v>
      </c>
      <c r="M6626" t="s">
        <v>6853</v>
      </c>
      <c r="N6626" t="str">
        <f>"248030103525"</f>
        <v>248030103525</v>
      </c>
      <c r="O6626" t="str">
        <f>"460200200307216328"</f>
        <v>460200200307216328</v>
      </c>
    </row>
    <row r="6627" customFormat="1" spans="1:15">
      <c r="A6627">
        <v>8489</v>
      </c>
      <c r="B6627" t="s">
        <v>6854</v>
      </c>
      <c r="C6627" t="str">
        <f>"460033199112184486"</f>
        <v>460033199112184486</v>
      </c>
      <c r="D6627" t="str">
        <f>"248030100227"</f>
        <v>248030100227</v>
      </c>
      <c r="L6627">
        <v>8489</v>
      </c>
      <c r="M6627" t="s">
        <v>6854</v>
      </c>
      <c r="N6627" t="str">
        <f>"248030100227"</f>
        <v>248030100227</v>
      </c>
      <c r="O6627" t="str">
        <f>"460033199112184486"</f>
        <v>460033199112184486</v>
      </c>
    </row>
    <row r="6628" customFormat="1" spans="1:15">
      <c r="A6628">
        <v>8490</v>
      </c>
      <c r="B6628" t="s">
        <v>4862</v>
      </c>
      <c r="C6628" t="str">
        <f>"460006200003018725"</f>
        <v>460006200003018725</v>
      </c>
      <c r="D6628" t="str">
        <f>"248030501709"</f>
        <v>248030501709</v>
      </c>
      <c r="L6628">
        <v>8490</v>
      </c>
      <c r="M6628" t="s">
        <v>4862</v>
      </c>
      <c r="N6628" t="str">
        <f>"248030501709"</f>
        <v>248030501709</v>
      </c>
      <c r="O6628" t="str">
        <f>"460006200003018725"</f>
        <v>460006200003018725</v>
      </c>
    </row>
    <row r="6629" customFormat="1" spans="1:15">
      <c r="A6629">
        <v>8492</v>
      </c>
      <c r="B6629" t="s">
        <v>2101</v>
      </c>
      <c r="C6629" t="str">
        <f>"460007199910033620"</f>
        <v>460007199910033620</v>
      </c>
      <c r="L6629">
        <v>8492</v>
      </c>
      <c r="M6629" t="s">
        <v>2101</v>
      </c>
      <c r="O6629" t="str">
        <f>"460007199910033620"</f>
        <v>460007199910033620</v>
      </c>
    </row>
    <row r="6630" customFormat="1" spans="1:15">
      <c r="A6630">
        <v>8493</v>
      </c>
      <c r="B6630" t="s">
        <v>6855</v>
      </c>
      <c r="C6630" t="str">
        <f>"460003200101174220"</f>
        <v>460003200101174220</v>
      </c>
      <c r="D6630" t="str">
        <f>"248030103209"</f>
        <v>248030103209</v>
      </c>
      <c r="L6630">
        <v>8493</v>
      </c>
      <c r="M6630" t="s">
        <v>6855</v>
      </c>
      <c r="N6630" t="str">
        <f>"248030103209"</f>
        <v>248030103209</v>
      </c>
      <c r="O6630" t="str">
        <f>"460003200101174220"</f>
        <v>460003200101174220</v>
      </c>
    </row>
    <row r="6631" customFormat="1" spans="1:15">
      <c r="A6631">
        <v>8494</v>
      </c>
      <c r="B6631" t="s">
        <v>6856</v>
      </c>
      <c r="C6631" t="str">
        <f>"460003200104085629"</f>
        <v>460003200104085629</v>
      </c>
      <c r="D6631" t="str">
        <f>"248030102801"</f>
        <v>248030102801</v>
      </c>
      <c r="L6631">
        <v>8494</v>
      </c>
      <c r="M6631" t="s">
        <v>6856</v>
      </c>
      <c r="N6631" t="str">
        <f>"248030102801"</f>
        <v>248030102801</v>
      </c>
      <c r="O6631" t="str">
        <f>"460003200104085629"</f>
        <v>460003200104085629</v>
      </c>
    </row>
    <row r="6632" customFormat="1" spans="1:15">
      <c r="A6632">
        <v>8496</v>
      </c>
      <c r="B6632" t="s">
        <v>6857</v>
      </c>
      <c r="C6632" t="str">
        <f>"460006199505022024"</f>
        <v>460006199505022024</v>
      </c>
      <c r="L6632">
        <v>8496</v>
      </c>
      <c r="M6632" t="s">
        <v>6857</v>
      </c>
      <c r="O6632" t="str">
        <f>"460006199505022024"</f>
        <v>460006199505022024</v>
      </c>
    </row>
    <row r="6633" customFormat="1" spans="1:15">
      <c r="A6633">
        <v>8497</v>
      </c>
      <c r="B6633" t="s">
        <v>6858</v>
      </c>
      <c r="C6633" t="str">
        <f>"46002819980711562X"</f>
        <v>46002819980711562X</v>
      </c>
      <c r="L6633">
        <v>8497</v>
      </c>
      <c r="M6633" t="s">
        <v>6858</v>
      </c>
      <c r="O6633" t="str">
        <f>"46002819980711562X"</f>
        <v>46002819980711562X</v>
      </c>
    </row>
    <row r="6634" customFormat="1" spans="1:15">
      <c r="A6634">
        <v>8498</v>
      </c>
      <c r="B6634" t="s">
        <v>50</v>
      </c>
      <c r="C6634" t="str">
        <f>"500234200101205750"</f>
        <v>500234200101205750</v>
      </c>
      <c r="D6634" t="str">
        <f>"248030301615"</f>
        <v>248030301615</v>
      </c>
      <c r="L6634">
        <v>8498</v>
      </c>
      <c r="M6634" t="s">
        <v>50</v>
      </c>
      <c r="N6634" t="str">
        <f>"248030301615"</f>
        <v>248030301615</v>
      </c>
      <c r="O6634" t="str">
        <f>"500234200101205750"</f>
        <v>500234200101205750</v>
      </c>
    </row>
    <row r="6635" customFormat="1" spans="1:15">
      <c r="A6635">
        <v>8499</v>
      </c>
      <c r="B6635" t="s">
        <v>6859</v>
      </c>
      <c r="C6635" t="str">
        <f>"460028199007020921"</f>
        <v>460028199007020921</v>
      </c>
      <c r="L6635">
        <v>8499</v>
      </c>
      <c r="M6635" t="s">
        <v>6859</v>
      </c>
      <c r="O6635" t="str">
        <f>"460028199007020921"</f>
        <v>460028199007020921</v>
      </c>
    </row>
    <row r="6636" customFormat="1" spans="1:15">
      <c r="A6636">
        <v>8500</v>
      </c>
      <c r="B6636" t="s">
        <v>6860</v>
      </c>
      <c r="C6636" t="str">
        <f>"460003198907063423"</f>
        <v>460003198907063423</v>
      </c>
      <c r="D6636" t="str">
        <f>"248030300608"</f>
        <v>248030300608</v>
      </c>
      <c r="L6636">
        <v>8500</v>
      </c>
      <c r="M6636" t="s">
        <v>6860</v>
      </c>
      <c r="N6636" t="str">
        <f>"248030300608"</f>
        <v>248030300608</v>
      </c>
      <c r="O6636" t="str">
        <f>"460003198907063423"</f>
        <v>460003198907063423</v>
      </c>
    </row>
    <row r="6637" customFormat="1" spans="1:15">
      <c r="A6637">
        <v>8502</v>
      </c>
      <c r="B6637" t="s">
        <v>6861</v>
      </c>
      <c r="C6637" t="str">
        <f>"460034199512254718"</f>
        <v>460034199512254718</v>
      </c>
      <c r="L6637">
        <v>8502</v>
      </c>
      <c r="M6637" t="s">
        <v>6861</v>
      </c>
      <c r="O6637" t="str">
        <f>"460034199512254718"</f>
        <v>460034199512254718</v>
      </c>
    </row>
    <row r="6638" customFormat="1" spans="1:15">
      <c r="A6638">
        <v>8503</v>
      </c>
      <c r="B6638" t="s">
        <v>6862</v>
      </c>
      <c r="C6638" t="str">
        <f>"220181200107141219"</f>
        <v>220181200107141219</v>
      </c>
      <c r="D6638" t="str">
        <f>"248030201715"</f>
        <v>248030201715</v>
      </c>
      <c r="L6638">
        <v>8503</v>
      </c>
      <c r="M6638" t="s">
        <v>6862</v>
      </c>
      <c r="N6638" t="str">
        <f>"248030201715"</f>
        <v>248030201715</v>
      </c>
      <c r="O6638" t="str">
        <f>"220181200107141219"</f>
        <v>220181200107141219</v>
      </c>
    </row>
    <row r="6639" customFormat="1" spans="1:15">
      <c r="A6639">
        <v>8504</v>
      </c>
      <c r="B6639" t="s">
        <v>505</v>
      </c>
      <c r="C6639" t="str">
        <f>"530425199807100322"</f>
        <v>530425199807100322</v>
      </c>
      <c r="D6639" t="str">
        <f>"248030100128"</f>
        <v>248030100128</v>
      </c>
      <c r="L6639">
        <v>8504</v>
      </c>
      <c r="M6639" t="s">
        <v>505</v>
      </c>
      <c r="N6639" t="str">
        <f>"248030100128"</f>
        <v>248030100128</v>
      </c>
      <c r="O6639" t="str">
        <f>"530425199807100322"</f>
        <v>530425199807100322</v>
      </c>
    </row>
    <row r="6640" customFormat="1" spans="1:15">
      <c r="A6640">
        <v>8506</v>
      </c>
      <c r="B6640" t="s">
        <v>6863</v>
      </c>
      <c r="C6640" t="str">
        <f>"469003199803135923"</f>
        <v>469003199803135923</v>
      </c>
      <c r="D6640" t="str">
        <f>"248030104705"</f>
        <v>248030104705</v>
      </c>
      <c r="L6640">
        <v>8506</v>
      </c>
      <c r="M6640" t="s">
        <v>6863</v>
      </c>
      <c r="N6640" t="str">
        <f>"248030104705"</f>
        <v>248030104705</v>
      </c>
      <c r="O6640" t="str">
        <f>"469003199803135923"</f>
        <v>469003199803135923</v>
      </c>
    </row>
    <row r="6641" customFormat="1" spans="1:15">
      <c r="A6641">
        <v>8507</v>
      </c>
      <c r="B6641" t="s">
        <v>6864</v>
      </c>
      <c r="C6641" t="str">
        <f>"460007199310090429"</f>
        <v>460007199310090429</v>
      </c>
      <c r="L6641">
        <v>8507</v>
      </c>
      <c r="M6641" t="s">
        <v>6864</v>
      </c>
      <c r="O6641" t="str">
        <f>"460007199310090429"</f>
        <v>460007199310090429</v>
      </c>
    </row>
    <row r="6642" customFormat="1" spans="1:15">
      <c r="A6642">
        <v>8509</v>
      </c>
      <c r="B6642" t="s">
        <v>6865</v>
      </c>
      <c r="C6642" t="str">
        <f>"460103199608200045"</f>
        <v>460103199608200045</v>
      </c>
      <c r="L6642">
        <v>8509</v>
      </c>
      <c r="M6642" t="s">
        <v>6865</v>
      </c>
      <c r="O6642" t="str">
        <f>"460103199608200045"</f>
        <v>460103199608200045</v>
      </c>
    </row>
    <row r="6643" customFormat="1" spans="1:15">
      <c r="A6643">
        <v>8510</v>
      </c>
      <c r="B6643" t="s">
        <v>6866</v>
      </c>
      <c r="C6643" t="str">
        <f>"46000319910915742X"</f>
        <v>46000319910915742X</v>
      </c>
      <c r="D6643" t="str">
        <f>"248030402228"</f>
        <v>248030402228</v>
      </c>
      <c r="L6643">
        <v>8510</v>
      </c>
      <c r="M6643" t="s">
        <v>6866</v>
      </c>
      <c r="N6643" t="str">
        <f>"248030402228"</f>
        <v>248030402228</v>
      </c>
      <c r="O6643" t="str">
        <f>"46000319910915742X"</f>
        <v>46000319910915742X</v>
      </c>
    </row>
    <row r="6644" customFormat="1" spans="1:15">
      <c r="A6644">
        <v>8511</v>
      </c>
      <c r="B6644" t="s">
        <v>6867</v>
      </c>
      <c r="C6644" t="str">
        <f>"41272619991112716X"</f>
        <v>41272619991112716X</v>
      </c>
      <c r="D6644" t="str">
        <f>"248030103407"</f>
        <v>248030103407</v>
      </c>
      <c r="L6644">
        <v>8511</v>
      </c>
      <c r="M6644" t="s">
        <v>6867</v>
      </c>
      <c r="N6644" t="str">
        <f>"248030103407"</f>
        <v>248030103407</v>
      </c>
      <c r="O6644" t="str">
        <f>"41272619991112716X"</f>
        <v>41272619991112716X</v>
      </c>
    </row>
    <row r="6645" customFormat="1" spans="1:15">
      <c r="A6645">
        <v>8514</v>
      </c>
      <c r="B6645" t="s">
        <v>6868</v>
      </c>
      <c r="C6645" t="str">
        <f>"360103199411174134"</f>
        <v>360103199411174134</v>
      </c>
      <c r="D6645" t="str">
        <f>"248030400727"</f>
        <v>248030400727</v>
      </c>
      <c r="L6645">
        <v>8514</v>
      </c>
      <c r="M6645" t="s">
        <v>6868</v>
      </c>
      <c r="N6645" t="str">
        <f>"248030400727"</f>
        <v>248030400727</v>
      </c>
      <c r="O6645" t="str">
        <f>"360103199411174134"</f>
        <v>360103199411174134</v>
      </c>
    </row>
    <row r="6646" customFormat="1" spans="1:15">
      <c r="A6646">
        <v>8515</v>
      </c>
      <c r="B6646" t="s">
        <v>6869</v>
      </c>
      <c r="C6646" t="str">
        <f>"460028199305160447"</f>
        <v>460028199305160447</v>
      </c>
      <c r="L6646">
        <v>8515</v>
      </c>
      <c r="M6646" t="s">
        <v>6869</v>
      </c>
      <c r="O6646" t="str">
        <f>"460028199305160447"</f>
        <v>460028199305160447</v>
      </c>
    </row>
    <row r="6647" customFormat="1" spans="1:15">
      <c r="A6647">
        <v>8516</v>
      </c>
      <c r="B6647" t="s">
        <v>6870</v>
      </c>
      <c r="C6647" t="str">
        <f>"430181200105167369"</f>
        <v>430181200105167369</v>
      </c>
      <c r="D6647" t="str">
        <f>"248030102819"</f>
        <v>248030102819</v>
      </c>
      <c r="L6647">
        <v>8516</v>
      </c>
      <c r="M6647" t="s">
        <v>6870</v>
      </c>
      <c r="N6647" t="str">
        <f>"248030102819"</f>
        <v>248030102819</v>
      </c>
      <c r="O6647" t="str">
        <f>"430181200105167369"</f>
        <v>430181200105167369</v>
      </c>
    </row>
    <row r="6648" customFormat="1" spans="1:15">
      <c r="A6648">
        <v>8518</v>
      </c>
      <c r="B6648" t="s">
        <v>6871</v>
      </c>
      <c r="C6648" t="str">
        <f>"411081200105096355"</f>
        <v>411081200105096355</v>
      </c>
      <c r="L6648">
        <v>8518</v>
      </c>
      <c r="M6648" t="s">
        <v>6871</v>
      </c>
      <c r="O6648" t="str">
        <f>"411081200105096355"</f>
        <v>411081200105096355</v>
      </c>
    </row>
    <row r="6649" customFormat="1" spans="1:15">
      <c r="A6649">
        <v>8519</v>
      </c>
      <c r="B6649" t="s">
        <v>6872</v>
      </c>
      <c r="C6649" t="str">
        <f>"460031199609194812"</f>
        <v>460031199609194812</v>
      </c>
      <c r="L6649">
        <v>8519</v>
      </c>
      <c r="M6649" t="s">
        <v>6872</v>
      </c>
      <c r="O6649" t="str">
        <f>"460031199609194812"</f>
        <v>460031199609194812</v>
      </c>
    </row>
    <row r="6650" customFormat="1" spans="1:15">
      <c r="A6650">
        <v>8521</v>
      </c>
      <c r="B6650" t="s">
        <v>6873</v>
      </c>
      <c r="C6650" t="str">
        <f>"500228200012140927"</f>
        <v>500228200012140927</v>
      </c>
      <c r="L6650">
        <v>8521</v>
      </c>
      <c r="M6650" t="s">
        <v>6873</v>
      </c>
      <c r="O6650" t="str">
        <f>"500228200012140927"</f>
        <v>500228200012140927</v>
      </c>
    </row>
    <row r="6651" customFormat="1" spans="1:15">
      <c r="A6651">
        <v>8522</v>
      </c>
      <c r="B6651" t="s">
        <v>6874</v>
      </c>
      <c r="C6651" t="str">
        <f>"460028200007173624"</f>
        <v>460028200007173624</v>
      </c>
      <c r="L6651">
        <v>8522</v>
      </c>
      <c r="M6651" t="s">
        <v>6874</v>
      </c>
      <c r="O6651" t="str">
        <f>"460028200007173624"</f>
        <v>460028200007173624</v>
      </c>
    </row>
    <row r="6652" customFormat="1" spans="1:15">
      <c r="A6652">
        <v>8523</v>
      </c>
      <c r="B6652" t="s">
        <v>4547</v>
      </c>
      <c r="C6652" t="str">
        <f>"46000619970621062X"</f>
        <v>46000619970621062X</v>
      </c>
      <c r="D6652" t="str">
        <f>"248030102818"</f>
        <v>248030102818</v>
      </c>
      <c r="L6652">
        <v>8523</v>
      </c>
      <c r="M6652" t="s">
        <v>4547</v>
      </c>
      <c r="N6652" t="str">
        <f>"248030102818"</f>
        <v>248030102818</v>
      </c>
      <c r="O6652" t="str">
        <f>"46000619970621062X"</f>
        <v>46000619970621062X</v>
      </c>
    </row>
    <row r="6653" customFormat="1" spans="1:15">
      <c r="A6653">
        <v>8524</v>
      </c>
      <c r="B6653" t="s">
        <v>5137</v>
      </c>
      <c r="C6653" t="str">
        <f>"460033199202163240"</f>
        <v>460033199202163240</v>
      </c>
      <c r="D6653" t="str">
        <f>"248030402223"</f>
        <v>248030402223</v>
      </c>
      <c r="L6653">
        <v>8524</v>
      </c>
      <c r="M6653" t="s">
        <v>5137</v>
      </c>
      <c r="N6653" t="str">
        <f>"248030402223"</f>
        <v>248030402223</v>
      </c>
      <c r="O6653" t="str">
        <f>"460033199202163240"</f>
        <v>460033199202163240</v>
      </c>
    </row>
    <row r="6654" customFormat="1" spans="1:15">
      <c r="A6654">
        <v>8525</v>
      </c>
      <c r="B6654" t="s">
        <v>3503</v>
      </c>
      <c r="C6654" t="str">
        <f>"46002719910711622X"</f>
        <v>46002719910711622X</v>
      </c>
      <c r="L6654">
        <v>8525</v>
      </c>
      <c r="M6654" t="s">
        <v>3503</v>
      </c>
      <c r="O6654" t="str">
        <f>"46002719910711622X"</f>
        <v>46002719910711622X</v>
      </c>
    </row>
    <row r="6655" customFormat="1" spans="1:15">
      <c r="A6655">
        <v>8526</v>
      </c>
      <c r="B6655" t="s">
        <v>6875</v>
      </c>
      <c r="C6655" t="str">
        <f>"460004199104132422"</f>
        <v>460004199104132422</v>
      </c>
      <c r="D6655" t="str">
        <f>"248030102225"</f>
        <v>248030102225</v>
      </c>
      <c r="L6655">
        <v>8526</v>
      </c>
      <c r="M6655" t="s">
        <v>6875</v>
      </c>
      <c r="N6655" t="str">
        <f>"248030102225"</f>
        <v>248030102225</v>
      </c>
      <c r="O6655" t="str">
        <f>"460004199104132422"</f>
        <v>460004199104132422</v>
      </c>
    </row>
    <row r="6656" customFormat="1" spans="1:15">
      <c r="A6656">
        <v>8527</v>
      </c>
      <c r="B6656" t="s">
        <v>6876</v>
      </c>
      <c r="C6656" t="str">
        <f>"460025198903242422"</f>
        <v>460025198903242422</v>
      </c>
      <c r="D6656" t="str">
        <f>"248030102511"</f>
        <v>248030102511</v>
      </c>
      <c r="L6656">
        <v>8527</v>
      </c>
      <c r="M6656" t="s">
        <v>6876</v>
      </c>
      <c r="N6656" t="str">
        <f>"248030102511"</f>
        <v>248030102511</v>
      </c>
      <c r="O6656" t="str">
        <f>"460025198903242422"</f>
        <v>460025198903242422</v>
      </c>
    </row>
    <row r="6657" customFormat="1" spans="1:15">
      <c r="A6657">
        <v>8528</v>
      </c>
      <c r="B6657" t="s">
        <v>6877</v>
      </c>
      <c r="C6657" t="str">
        <f>"460002199410190521"</f>
        <v>460002199410190521</v>
      </c>
      <c r="L6657">
        <v>8528</v>
      </c>
      <c r="M6657" t="s">
        <v>6877</v>
      </c>
      <c r="O6657" t="str">
        <f>"460002199410190521"</f>
        <v>460002199410190521</v>
      </c>
    </row>
    <row r="6658" customFormat="1" spans="1:15">
      <c r="A6658">
        <v>8530</v>
      </c>
      <c r="B6658" t="s">
        <v>6878</v>
      </c>
      <c r="C6658" t="str">
        <f>"360726200001215223"</f>
        <v>360726200001215223</v>
      </c>
      <c r="D6658" t="str">
        <f>"248030400919"</f>
        <v>248030400919</v>
      </c>
      <c r="L6658">
        <v>8530</v>
      </c>
      <c r="M6658" t="s">
        <v>6878</v>
      </c>
      <c r="N6658" t="str">
        <f>"248030400919"</f>
        <v>248030400919</v>
      </c>
      <c r="O6658" t="str">
        <f>"360726200001215223"</f>
        <v>360726200001215223</v>
      </c>
    </row>
    <row r="6659" customFormat="1" spans="1:15">
      <c r="A6659">
        <v>8531</v>
      </c>
      <c r="B6659" t="s">
        <v>6879</v>
      </c>
      <c r="C6659" t="str">
        <f>"46003520000123002X"</f>
        <v>46003520000123002X</v>
      </c>
      <c r="L6659">
        <v>8531</v>
      </c>
      <c r="M6659" t="s">
        <v>6879</v>
      </c>
      <c r="O6659" t="str">
        <f>"46003520000123002X"</f>
        <v>46003520000123002X</v>
      </c>
    </row>
    <row r="6660" customFormat="1" spans="1:15">
      <c r="A6660">
        <v>8532</v>
      </c>
      <c r="B6660" t="s">
        <v>6880</v>
      </c>
      <c r="C6660" t="str">
        <f>"460004199607080820"</f>
        <v>460004199607080820</v>
      </c>
      <c r="L6660">
        <v>8532</v>
      </c>
      <c r="M6660" t="s">
        <v>6880</v>
      </c>
      <c r="O6660" t="str">
        <f>"460004199607080820"</f>
        <v>460004199607080820</v>
      </c>
    </row>
    <row r="6661" customFormat="1" spans="1:15">
      <c r="A6661">
        <v>8534</v>
      </c>
      <c r="B6661" t="s">
        <v>6881</v>
      </c>
      <c r="C6661" t="str">
        <f>"460003199403300610"</f>
        <v>460003199403300610</v>
      </c>
      <c r="D6661" t="str">
        <f>"248030200603"</f>
        <v>248030200603</v>
      </c>
      <c r="L6661">
        <v>8534</v>
      </c>
      <c r="M6661" t="s">
        <v>6881</v>
      </c>
      <c r="N6661" t="str">
        <f>"248030200603"</f>
        <v>248030200603</v>
      </c>
      <c r="O6661" t="str">
        <f>"460003199403300610"</f>
        <v>460003199403300610</v>
      </c>
    </row>
    <row r="6662" customFormat="1" spans="1:15">
      <c r="A6662">
        <v>8535</v>
      </c>
      <c r="B6662" t="s">
        <v>6882</v>
      </c>
      <c r="C6662" t="str">
        <f>"469005200109222320"</f>
        <v>469005200109222320</v>
      </c>
      <c r="D6662" t="str">
        <f>"248030102828"</f>
        <v>248030102828</v>
      </c>
      <c r="L6662">
        <v>8535</v>
      </c>
      <c r="M6662" t="s">
        <v>6882</v>
      </c>
      <c r="N6662" t="str">
        <f>"248030102828"</f>
        <v>248030102828</v>
      </c>
      <c r="O6662" t="str">
        <f>"469005200109222320"</f>
        <v>469005200109222320</v>
      </c>
    </row>
    <row r="6663" customFormat="1" spans="1:15">
      <c r="A6663">
        <v>8536</v>
      </c>
      <c r="B6663" t="s">
        <v>6883</v>
      </c>
      <c r="C6663" t="str">
        <f>"330881199503032127"</f>
        <v>330881199503032127</v>
      </c>
      <c r="D6663" t="str">
        <f>"248030100522"</f>
        <v>248030100522</v>
      </c>
      <c r="L6663">
        <v>8536</v>
      </c>
      <c r="M6663" t="s">
        <v>6883</v>
      </c>
      <c r="N6663" t="str">
        <f>"248030100522"</f>
        <v>248030100522</v>
      </c>
      <c r="O6663" t="str">
        <f>"330881199503032127"</f>
        <v>330881199503032127</v>
      </c>
    </row>
    <row r="6664" customFormat="1" spans="1:15">
      <c r="A6664">
        <v>8537</v>
      </c>
      <c r="B6664" t="s">
        <v>6884</v>
      </c>
      <c r="C6664" t="str">
        <f>"412824199801264721"</f>
        <v>412824199801264721</v>
      </c>
      <c r="D6664" t="str">
        <f>"248030403011"</f>
        <v>248030403011</v>
      </c>
      <c r="L6664">
        <v>8537</v>
      </c>
      <c r="M6664" t="s">
        <v>6884</v>
      </c>
      <c r="N6664" t="str">
        <f>"248030403011"</f>
        <v>248030403011</v>
      </c>
      <c r="O6664" t="str">
        <f>"412824199801264721"</f>
        <v>412824199801264721</v>
      </c>
    </row>
    <row r="6665" customFormat="1" spans="1:15">
      <c r="A6665">
        <v>8539</v>
      </c>
      <c r="B6665" t="s">
        <v>684</v>
      </c>
      <c r="C6665" t="str">
        <f>"46000419950127482X"</f>
        <v>46000419950127482X</v>
      </c>
      <c r="D6665" t="str">
        <f>"248030402316"</f>
        <v>248030402316</v>
      </c>
      <c r="L6665">
        <v>8539</v>
      </c>
      <c r="M6665" t="s">
        <v>684</v>
      </c>
      <c r="N6665" t="str">
        <f>"248030402316"</f>
        <v>248030402316</v>
      </c>
      <c r="O6665" t="str">
        <f>"46000419950127482X"</f>
        <v>46000419950127482X</v>
      </c>
    </row>
    <row r="6666" customFormat="1" spans="1:15">
      <c r="A6666">
        <v>8540</v>
      </c>
      <c r="B6666" t="s">
        <v>6885</v>
      </c>
      <c r="C6666" t="str">
        <f>"460003200108064825"</f>
        <v>460003200108064825</v>
      </c>
      <c r="L6666">
        <v>8540</v>
      </c>
      <c r="M6666" t="s">
        <v>6885</v>
      </c>
      <c r="O6666" t="str">
        <f>"460003200108064825"</f>
        <v>460003200108064825</v>
      </c>
    </row>
    <row r="6667" customFormat="1" spans="1:15">
      <c r="A6667">
        <v>8541</v>
      </c>
      <c r="B6667" t="s">
        <v>6886</v>
      </c>
      <c r="C6667" t="str">
        <f>"460033200107252689"</f>
        <v>460033200107252689</v>
      </c>
      <c r="L6667">
        <v>8541</v>
      </c>
      <c r="M6667" t="s">
        <v>6886</v>
      </c>
      <c r="O6667" t="str">
        <f>"460033200107252689"</f>
        <v>460033200107252689</v>
      </c>
    </row>
    <row r="6668" customFormat="1" spans="1:15">
      <c r="A6668">
        <v>8542</v>
      </c>
      <c r="B6668" t="s">
        <v>6887</v>
      </c>
      <c r="C6668" t="str">
        <f>"469027200111284617"</f>
        <v>469027200111284617</v>
      </c>
      <c r="D6668" t="str">
        <f>"248030201728"</f>
        <v>248030201728</v>
      </c>
      <c r="L6668">
        <v>8542</v>
      </c>
      <c r="M6668" t="s">
        <v>6887</v>
      </c>
      <c r="N6668" t="str">
        <f>"248030201728"</f>
        <v>248030201728</v>
      </c>
      <c r="O6668" t="str">
        <f>"469027200111284617"</f>
        <v>469027200111284617</v>
      </c>
    </row>
    <row r="6669" customFormat="1" spans="1:15">
      <c r="A6669">
        <v>8543</v>
      </c>
      <c r="B6669" t="s">
        <v>6888</v>
      </c>
      <c r="C6669" t="str">
        <f>"460004199605291229"</f>
        <v>460004199605291229</v>
      </c>
      <c r="D6669" t="str">
        <f>"248030200311"</f>
        <v>248030200311</v>
      </c>
      <c r="L6669">
        <v>8543</v>
      </c>
      <c r="M6669" t="s">
        <v>6888</v>
      </c>
      <c r="N6669" t="str">
        <f>"248030200311"</f>
        <v>248030200311</v>
      </c>
      <c r="O6669" t="str">
        <f>"460004199605291229"</f>
        <v>460004199605291229</v>
      </c>
    </row>
    <row r="6670" customFormat="1" spans="1:15">
      <c r="A6670">
        <v>8545</v>
      </c>
      <c r="B6670" t="s">
        <v>6889</v>
      </c>
      <c r="C6670" t="str">
        <f>"460003199909122823"</f>
        <v>460003199909122823</v>
      </c>
      <c r="D6670" t="str">
        <f>"248030402912"</f>
        <v>248030402912</v>
      </c>
      <c r="L6670">
        <v>8545</v>
      </c>
      <c r="M6670" t="s">
        <v>6889</v>
      </c>
      <c r="N6670" t="str">
        <f>"248030402912"</f>
        <v>248030402912</v>
      </c>
      <c r="O6670" t="str">
        <f>"460003199909122823"</f>
        <v>460003199909122823</v>
      </c>
    </row>
    <row r="6671" customFormat="1" spans="1:15">
      <c r="A6671">
        <v>8547</v>
      </c>
      <c r="B6671" t="s">
        <v>6890</v>
      </c>
      <c r="C6671" t="str">
        <f>"460027200009126614"</f>
        <v>460027200009126614</v>
      </c>
      <c r="D6671" t="str">
        <f>"248030201515"</f>
        <v>248030201515</v>
      </c>
      <c r="L6671">
        <v>8547</v>
      </c>
      <c r="M6671" t="s">
        <v>6890</v>
      </c>
      <c r="N6671" t="str">
        <f>"248030201515"</f>
        <v>248030201515</v>
      </c>
      <c r="O6671" t="str">
        <f>"460027200009126614"</f>
        <v>460027200009126614</v>
      </c>
    </row>
    <row r="6672" customFormat="1" spans="1:15">
      <c r="A6672">
        <v>8548</v>
      </c>
      <c r="B6672" t="s">
        <v>6891</v>
      </c>
      <c r="C6672" t="str">
        <f>"469025200110070024"</f>
        <v>469025200110070024</v>
      </c>
      <c r="D6672" t="str">
        <f>"248030101722"</f>
        <v>248030101722</v>
      </c>
      <c r="L6672">
        <v>8548</v>
      </c>
      <c r="M6672" t="s">
        <v>6891</v>
      </c>
      <c r="N6672" t="str">
        <f>"248030101722"</f>
        <v>248030101722</v>
      </c>
      <c r="O6672" t="str">
        <f>"469025200110070024"</f>
        <v>469025200110070024</v>
      </c>
    </row>
    <row r="6673" customFormat="1" spans="1:15">
      <c r="A6673">
        <v>8549</v>
      </c>
      <c r="B6673" t="s">
        <v>6892</v>
      </c>
      <c r="C6673" t="str">
        <f>"460003200009062023"</f>
        <v>460003200009062023</v>
      </c>
      <c r="L6673">
        <v>8549</v>
      </c>
      <c r="M6673" t="s">
        <v>6892</v>
      </c>
      <c r="O6673" t="str">
        <f>"460003200009062023"</f>
        <v>460003200009062023</v>
      </c>
    </row>
    <row r="6674" customFormat="1" spans="1:15">
      <c r="A6674">
        <v>8550</v>
      </c>
      <c r="B6674" t="s">
        <v>6893</v>
      </c>
      <c r="C6674" t="str">
        <f>"460033199205253241"</f>
        <v>460033199205253241</v>
      </c>
      <c r="D6674" t="str">
        <f>"248030502122"</f>
        <v>248030502122</v>
      </c>
      <c r="L6674">
        <v>8550</v>
      </c>
      <c r="M6674" t="s">
        <v>6893</v>
      </c>
      <c r="N6674" t="str">
        <f>"248030502122"</f>
        <v>248030502122</v>
      </c>
      <c r="O6674" t="str">
        <f>"460033199205253241"</f>
        <v>460033199205253241</v>
      </c>
    </row>
    <row r="6675" customFormat="1" spans="1:15">
      <c r="A6675">
        <v>8551</v>
      </c>
      <c r="B6675" t="s">
        <v>6894</v>
      </c>
      <c r="C6675" t="str">
        <f>"460102199308180648"</f>
        <v>460102199308180648</v>
      </c>
      <c r="L6675">
        <v>8551</v>
      </c>
      <c r="M6675" t="s">
        <v>6894</v>
      </c>
      <c r="O6675" t="str">
        <f>"460102199308180648"</f>
        <v>460102199308180648</v>
      </c>
    </row>
    <row r="6676" customFormat="1" spans="1:15">
      <c r="A6676">
        <v>8552</v>
      </c>
      <c r="B6676" t="s">
        <v>6895</v>
      </c>
      <c r="C6676" t="str">
        <f>"460003198908022025"</f>
        <v>460003198908022025</v>
      </c>
      <c r="D6676" t="str">
        <f>"248030101624"</f>
        <v>248030101624</v>
      </c>
      <c r="L6676">
        <v>8552</v>
      </c>
      <c r="M6676" t="s">
        <v>6895</v>
      </c>
      <c r="N6676" t="str">
        <f>"248030101624"</f>
        <v>248030101624</v>
      </c>
      <c r="O6676" t="str">
        <f>"460003198908022025"</f>
        <v>460003198908022025</v>
      </c>
    </row>
    <row r="6677" customFormat="1" spans="1:15">
      <c r="A6677">
        <v>8553</v>
      </c>
      <c r="B6677" t="s">
        <v>6896</v>
      </c>
      <c r="C6677" t="str">
        <f>"460005200109294115"</f>
        <v>460005200109294115</v>
      </c>
      <c r="L6677">
        <v>8553</v>
      </c>
      <c r="M6677" t="s">
        <v>6896</v>
      </c>
      <c r="O6677" t="str">
        <f>"460005200109294115"</f>
        <v>460005200109294115</v>
      </c>
    </row>
    <row r="6678" customFormat="1" spans="1:15">
      <c r="A6678">
        <v>8554</v>
      </c>
      <c r="B6678" t="s">
        <v>1685</v>
      </c>
      <c r="C6678" t="str">
        <f>"460027199207210037"</f>
        <v>460027199207210037</v>
      </c>
      <c r="D6678" t="str">
        <f>"248030301815"</f>
        <v>248030301815</v>
      </c>
      <c r="L6678">
        <v>8554</v>
      </c>
      <c r="M6678" t="s">
        <v>1685</v>
      </c>
      <c r="N6678" t="str">
        <f>"248030301815"</f>
        <v>248030301815</v>
      </c>
      <c r="O6678" t="str">
        <f>"460027199207210037"</f>
        <v>460027199207210037</v>
      </c>
    </row>
    <row r="6679" customFormat="1" spans="1:15">
      <c r="A6679">
        <v>8556</v>
      </c>
      <c r="B6679" t="s">
        <v>6897</v>
      </c>
      <c r="C6679" t="str">
        <f>"460030199105110623"</f>
        <v>460030199105110623</v>
      </c>
      <c r="D6679" t="str">
        <f>"248030403415"</f>
        <v>248030403415</v>
      </c>
      <c r="L6679">
        <v>8556</v>
      </c>
      <c r="M6679" t="s">
        <v>6897</v>
      </c>
      <c r="N6679" t="str">
        <f>"248030403415"</f>
        <v>248030403415</v>
      </c>
      <c r="O6679" t="str">
        <f>"460030199105110623"</f>
        <v>460030199105110623</v>
      </c>
    </row>
    <row r="6680" customFormat="1" spans="1:15">
      <c r="A6680">
        <v>8557</v>
      </c>
      <c r="B6680" t="s">
        <v>6898</v>
      </c>
      <c r="C6680" t="str">
        <f>"460028199908210028"</f>
        <v>460028199908210028</v>
      </c>
      <c r="L6680">
        <v>8557</v>
      </c>
      <c r="M6680" t="s">
        <v>6898</v>
      </c>
      <c r="O6680" t="str">
        <f>"460028199908210028"</f>
        <v>460028199908210028</v>
      </c>
    </row>
    <row r="6681" customFormat="1" spans="1:15">
      <c r="A6681">
        <v>8558</v>
      </c>
      <c r="B6681" t="s">
        <v>6899</v>
      </c>
      <c r="C6681" t="str">
        <f>"460002199107194415"</f>
        <v>460002199107194415</v>
      </c>
      <c r="D6681" t="str">
        <f>"248030501910"</f>
        <v>248030501910</v>
      </c>
      <c r="L6681">
        <v>8558</v>
      </c>
      <c r="M6681" t="s">
        <v>6899</v>
      </c>
      <c r="N6681" t="str">
        <f>"248030501910"</f>
        <v>248030501910</v>
      </c>
      <c r="O6681" t="str">
        <f>"460002199107194415"</f>
        <v>460002199107194415</v>
      </c>
    </row>
    <row r="6682" customFormat="1" spans="1:15">
      <c r="A6682">
        <v>8559</v>
      </c>
      <c r="B6682" t="s">
        <v>6900</v>
      </c>
      <c r="C6682" t="str">
        <f>"460007200212130066"</f>
        <v>460007200212130066</v>
      </c>
      <c r="D6682" t="str">
        <f>"248030503204"</f>
        <v>248030503204</v>
      </c>
      <c r="L6682">
        <v>8559</v>
      </c>
      <c r="M6682" t="s">
        <v>6900</v>
      </c>
      <c r="N6682" t="str">
        <f>"248030503204"</f>
        <v>248030503204</v>
      </c>
      <c r="O6682" t="str">
        <f>"460007200212130066"</f>
        <v>460007200212130066</v>
      </c>
    </row>
    <row r="6683" customFormat="1" spans="1:15">
      <c r="A6683">
        <v>8560</v>
      </c>
      <c r="B6683" t="s">
        <v>6901</v>
      </c>
      <c r="C6683" t="str">
        <f>"460006199804137526"</f>
        <v>460006199804137526</v>
      </c>
      <c r="L6683">
        <v>8560</v>
      </c>
      <c r="M6683" t="s">
        <v>6901</v>
      </c>
      <c r="O6683" t="str">
        <f>"460006199804137526"</f>
        <v>460006199804137526</v>
      </c>
    </row>
    <row r="6684" customFormat="1" spans="1:15">
      <c r="A6684">
        <v>8561</v>
      </c>
      <c r="B6684" t="s">
        <v>4826</v>
      </c>
      <c r="C6684" t="str">
        <f>"469005200105147423"</f>
        <v>469005200105147423</v>
      </c>
      <c r="D6684" t="str">
        <f>"248030302627"</f>
        <v>248030302627</v>
      </c>
      <c r="L6684">
        <v>8561</v>
      </c>
      <c r="M6684" t="s">
        <v>4826</v>
      </c>
      <c r="N6684" t="str">
        <f>"248030302627"</f>
        <v>248030302627</v>
      </c>
      <c r="O6684" t="str">
        <f>"469005200105147423"</f>
        <v>469005200105147423</v>
      </c>
    </row>
    <row r="6685" customFormat="1" spans="1:15">
      <c r="A6685">
        <v>8562</v>
      </c>
      <c r="B6685" t="s">
        <v>6902</v>
      </c>
      <c r="C6685" t="str">
        <f>"460004199212265628"</f>
        <v>460004199212265628</v>
      </c>
      <c r="D6685" t="str">
        <f>"248030100729"</f>
        <v>248030100729</v>
      </c>
      <c r="L6685">
        <v>8562</v>
      </c>
      <c r="M6685" t="s">
        <v>6902</v>
      </c>
      <c r="N6685" t="str">
        <f>"248030100729"</f>
        <v>248030100729</v>
      </c>
      <c r="O6685" t="str">
        <f>"460004199212265628"</f>
        <v>460004199212265628</v>
      </c>
    </row>
    <row r="6686" customFormat="1" spans="1:15">
      <c r="A6686">
        <v>8563</v>
      </c>
      <c r="B6686" t="s">
        <v>6903</v>
      </c>
      <c r="C6686" t="str">
        <f>"460005199410175144"</f>
        <v>460005199410175144</v>
      </c>
      <c r="D6686" t="str">
        <f>"248030203302"</f>
        <v>248030203302</v>
      </c>
      <c r="L6686">
        <v>8563</v>
      </c>
      <c r="M6686" t="s">
        <v>6903</v>
      </c>
      <c r="N6686" t="str">
        <f>"248030203302"</f>
        <v>248030203302</v>
      </c>
      <c r="O6686" t="str">
        <f>"460005199410175144"</f>
        <v>460005199410175144</v>
      </c>
    </row>
    <row r="6687" customFormat="1" spans="1:15">
      <c r="A6687">
        <v>8564</v>
      </c>
      <c r="B6687" t="s">
        <v>6904</v>
      </c>
      <c r="C6687" t="str">
        <f>"372901199310011015"</f>
        <v>372901199310011015</v>
      </c>
      <c r="L6687">
        <v>8564</v>
      </c>
      <c r="M6687" t="s">
        <v>6904</v>
      </c>
      <c r="O6687" t="str">
        <f>"372901199310011015"</f>
        <v>372901199310011015</v>
      </c>
    </row>
    <row r="6688" customFormat="1" spans="1:15">
      <c r="A6688">
        <v>8566</v>
      </c>
      <c r="B6688" t="s">
        <v>6905</v>
      </c>
      <c r="C6688" t="str">
        <f>"440883199511032619"</f>
        <v>440883199511032619</v>
      </c>
      <c r="L6688">
        <v>8566</v>
      </c>
      <c r="M6688" t="s">
        <v>6905</v>
      </c>
      <c r="O6688" t="str">
        <f>"440883199511032619"</f>
        <v>440883199511032619</v>
      </c>
    </row>
    <row r="6689" customFormat="1" spans="1:15">
      <c r="A6689">
        <v>8567</v>
      </c>
      <c r="B6689" t="s">
        <v>6906</v>
      </c>
      <c r="C6689" t="str">
        <f>"469023200201101321"</f>
        <v>469023200201101321</v>
      </c>
      <c r="D6689" t="str">
        <f>"248030401715"</f>
        <v>248030401715</v>
      </c>
      <c r="L6689">
        <v>8567</v>
      </c>
      <c r="M6689" t="s">
        <v>6906</v>
      </c>
      <c r="N6689" t="str">
        <f>"248030401715"</f>
        <v>248030401715</v>
      </c>
      <c r="O6689" t="str">
        <f>"469023200201101321"</f>
        <v>469023200201101321</v>
      </c>
    </row>
    <row r="6690" customFormat="1" spans="1:15">
      <c r="A6690">
        <v>8568</v>
      </c>
      <c r="B6690" t="s">
        <v>6907</v>
      </c>
      <c r="C6690" t="str">
        <f>"460027199603077020"</f>
        <v>460027199603077020</v>
      </c>
      <c r="D6690" t="str">
        <f>"248030500522"</f>
        <v>248030500522</v>
      </c>
      <c r="L6690">
        <v>8568</v>
      </c>
      <c r="M6690" t="s">
        <v>6907</v>
      </c>
      <c r="N6690" t="str">
        <f>"248030500522"</f>
        <v>248030500522</v>
      </c>
      <c r="O6690" t="str">
        <f>"460027199603077020"</f>
        <v>460027199603077020</v>
      </c>
    </row>
    <row r="6691" customFormat="1" spans="1:15">
      <c r="A6691">
        <v>8569</v>
      </c>
      <c r="B6691" t="s">
        <v>2427</v>
      </c>
      <c r="C6691" t="str">
        <f>"460033200008293629"</f>
        <v>460033200008293629</v>
      </c>
      <c r="D6691" t="str">
        <f>"248030400507"</f>
        <v>248030400507</v>
      </c>
      <c r="L6691">
        <v>8569</v>
      </c>
      <c r="M6691" t="s">
        <v>2427</v>
      </c>
      <c r="N6691" t="str">
        <f>"248030400507"</f>
        <v>248030400507</v>
      </c>
      <c r="O6691" t="str">
        <f>"460033200008293629"</f>
        <v>460033200008293629</v>
      </c>
    </row>
    <row r="6692" customFormat="1" spans="1:15">
      <c r="A6692">
        <v>8570</v>
      </c>
      <c r="B6692" t="s">
        <v>6908</v>
      </c>
      <c r="C6692" t="str">
        <f>"460005200012191224"</f>
        <v>460005200012191224</v>
      </c>
      <c r="D6692" t="str">
        <f>"248030203214"</f>
        <v>248030203214</v>
      </c>
      <c r="L6692">
        <v>8570</v>
      </c>
      <c r="M6692" t="s">
        <v>6908</v>
      </c>
      <c r="N6692" t="str">
        <f>"248030203214"</f>
        <v>248030203214</v>
      </c>
      <c r="O6692" t="str">
        <f>"460005200012191224"</f>
        <v>460005200012191224</v>
      </c>
    </row>
    <row r="6693" customFormat="1" spans="1:15">
      <c r="A6693">
        <v>8571</v>
      </c>
      <c r="B6693" t="s">
        <v>6909</v>
      </c>
      <c r="C6693" t="str">
        <f>"410728198604117646"</f>
        <v>410728198604117646</v>
      </c>
      <c r="L6693">
        <v>8571</v>
      </c>
      <c r="M6693" t="s">
        <v>6909</v>
      </c>
      <c r="O6693" t="str">
        <f>"410728198604117646"</f>
        <v>410728198604117646</v>
      </c>
    </row>
    <row r="6694" customFormat="1" spans="1:15">
      <c r="A6694">
        <v>8572</v>
      </c>
      <c r="B6694" t="s">
        <v>6910</v>
      </c>
      <c r="C6694" t="str">
        <f>"220181198510231265"</f>
        <v>220181198510231265</v>
      </c>
      <c r="D6694" t="str">
        <f>"248030102626"</f>
        <v>248030102626</v>
      </c>
      <c r="L6694">
        <v>8572</v>
      </c>
      <c r="M6694" t="s">
        <v>6910</v>
      </c>
      <c r="N6694" t="str">
        <f>"248030102626"</f>
        <v>248030102626</v>
      </c>
      <c r="O6694" t="str">
        <f>"220181198510231265"</f>
        <v>220181198510231265</v>
      </c>
    </row>
    <row r="6695" customFormat="1" spans="1:15">
      <c r="A6695">
        <v>8575</v>
      </c>
      <c r="B6695" t="s">
        <v>6911</v>
      </c>
      <c r="C6695" t="str">
        <f>"460003200007112824"</f>
        <v>460003200007112824</v>
      </c>
      <c r="D6695" t="str">
        <f>"248030403305"</f>
        <v>248030403305</v>
      </c>
      <c r="L6695">
        <v>8575</v>
      </c>
      <c r="M6695" t="s">
        <v>6911</v>
      </c>
      <c r="N6695" t="str">
        <f>"248030403305"</f>
        <v>248030403305</v>
      </c>
      <c r="O6695" t="str">
        <f>"460003200007112824"</f>
        <v>460003200007112824</v>
      </c>
    </row>
    <row r="6696" customFormat="1" spans="1:15">
      <c r="A6696">
        <v>8576</v>
      </c>
      <c r="B6696" t="s">
        <v>6912</v>
      </c>
      <c r="C6696" t="str">
        <f>"411323200308103853"</f>
        <v>411323200308103853</v>
      </c>
      <c r="L6696">
        <v>8576</v>
      </c>
      <c r="M6696" t="s">
        <v>6912</v>
      </c>
      <c r="O6696" t="str">
        <f>"411323200308103853"</f>
        <v>411323200308103853</v>
      </c>
    </row>
    <row r="6697" customFormat="1" spans="1:15">
      <c r="A6697">
        <v>8577</v>
      </c>
      <c r="B6697" t="s">
        <v>6913</v>
      </c>
      <c r="C6697" t="str">
        <f>"230822198404031112"</f>
        <v>230822198404031112</v>
      </c>
      <c r="L6697">
        <v>8577</v>
      </c>
      <c r="M6697" t="s">
        <v>6913</v>
      </c>
      <c r="O6697" t="str">
        <f>"230822198404031112"</f>
        <v>230822198404031112</v>
      </c>
    </row>
    <row r="6698" customFormat="1" spans="1:15">
      <c r="A6698">
        <v>8578</v>
      </c>
      <c r="B6698" t="s">
        <v>4791</v>
      </c>
      <c r="C6698" t="str">
        <f>"460022199004264340"</f>
        <v>460022199004264340</v>
      </c>
      <c r="D6698" t="str">
        <f>"248030404316"</f>
        <v>248030404316</v>
      </c>
      <c r="L6698">
        <v>8578</v>
      </c>
      <c r="M6698" t="s">
        <v>4791</v>
      </c>
      <c r="N6698" t="str">
        <f>"248030404316"</f>
        <v>248030404316</v>
      </c>
      <c r="O6698" t="str">
        <f>"460022199004264340"</f>
        <v>460022199004264340</v>
      </c>
    </row>
    <row r="6699" customFormat="1" spans="1:15">
      <c r="A6699">
        <v>8579</v>
      </c>
      <c r="B6699" t="s">
        <v>6914</v>
      </c>
      <c r="C6699" t="str">
        <f>"34012220001111482X"</f>
        <v>34012220001111482X</v>
      </c>
      <c r="L6699">
        <v>8579</v>
      </c>
      <c r="M6699" t="s">
        <v>6914</v>
      </c>
      <c r="O6699" t="str">
        <f>"34012220001111482X"</f>
        <v>34012220001111482X</v>
      </c>
    </row>
    <row r="6700" customFormat="1" spans="1:15">
      <c r="A6700">
        <v>8580</v>
      </c>
      <c r="B6700" t="s">
        <v>6915</v>
      </c>
      <c r="C6700" t="str">
        <f>"371525198912131712"</f>
        <v>371525198912131712</v>
      </c>
      <c r="L6700">
        <v>8580</v>
      </c>
      <c r="M6700" t="s">
        <v>6915</v>
      </c>
      <c r="O6700" t="str">
        <f>"371525198912131712"</f>
        <v>371525198912131712</v>
      </c>
    </row>
    <row r="6701" customFormat="1" spans="1:15">
      <c r="A6701">
        <v>8581</v>
      </c>
      <c r="B6701" t="s">
        <v>6916</v>
      </c>
      <c r="C6701" t="str">
        <f>"460004200007194010"</f>
        <v>460004200007194010</v>
      </c>
      <c r="D6701" t="str">
        <f>"248030502016"</f>
        <v>248030502016</v>
      </c>
      <c r="L6701">
        <v>8581</v>
      </c>
      <c r="M6701" t="s">
        <v>6916</v>
      </c>
      <c r="N6701" t="str">
        <f>"248030502016"</f>
        <v>248030502016</v>
      </c>
      <c r="O6701" t="str">
        <f>"460004200007194010"</f>
        <v>460004200007194010</v>
      </c>
    </row>
    <row r="6702" customFormat="1" spans="1:15">
      <c r="A6702">
        <v>8583</v>
      </c>
      <c r="B6702" t="s">
        <v>6917</v>
      </c>
      <c r="C6702" t="str">
        <f>"230621199604131545"</f>
        <v>230621199604131545</v>
      </c>
      <c r="D6702" t="str">
        <f>"248030401002"</f>
        <v>248030401002</v>
      </c>
      <c r="L6702">
        <v>8583</v>
      </c>
      <c r="M6702" t="s">
        <v>6917</v>
      </c>
      <c r="N6702" t="str">
        <f>"248030401002"</f>
        <v>248030401002</v>
      </c>
      <c r="O6702" t="str">
        <f>"230621199604131545"</f>
        <v>230621199604131545</v>
      </c>
    </row>
    <row r="6703" customFormat="1" spans="1:15">
      <c r="A6703">
        <v>8584</v>
      </c>
      <c r="B6703" t="s">
        <v>6918</v>
      </c>
      <c r="C6703" t="str">
        <f>"460200199310193387"</f>
        <v>460200199310193387</v>
      </c>
      <c r="D6703" t="str">
        <f>"248030403911"</f>
        <v>248030403911</v>
      </c>
      <c r="L6703">
        <v>8584</v>
      </c>
      <c r="M6703" t="s">
        <v>6918</v>
      </c>
      <c r="N6703" t="str">
        <f>"248030403911"</f>
        <v>248030403911</v>
      </c>
      <c r="O6703" t="str">
        <f>"460200199310193387"</f>
        <v>460200199310193387</v>
      </c>
    </row>
    <row r="6704" customFormat="1" spans="1:15">
      <c r="A6704">
        <v>8585</v>
      </c>
      <c r="B6704" t="s">
        <v>6919</v>
      </c>
      <c r="C6704" t="str">
        <f>"460004199912031427"</f>
        <v>460004199912031427</v>
      </c>
      <c r="L6704">
        <v>8585</v>
      </c>
      <c r="M6704" t="s">
        <v>6919</v>
      </c>
      <c r="O6704" t="str">
        <f>"460004199912031427"</f>
        <v>460004199912031427</v>
      </c>
    </row>
    <row r="6705" customFormat="1" spans="1:15">
      <c r="A6705">
        <v>8586</v>
      </c>
      <c r="B6705" t="s">
        <v>6920</v>
      </c>
      <c r="C6705" t="str">
        <f>"460033199811035404"</f>
        <v>460033199811035404</v>
      </c>
      <c r="D6705" t="str">
        <f>"248030402719"</f>
        <v>248030402719</v>
      </c>
      <c r="L6705">
        <v>8586</v>
      </c>
      <c r="M6705" t="s">
        <v>6920</v>
      </c>
      <c r="N6705" t="str">
        <f>"248030402719"</f>
        <v>248030402719</v>
      </c>
      <c r="O6705" t="str">
        <f>"460033199811035404"</f>
        <v>460033199811035404</v>
      </c>
    </row>
    <row r="6706" customFormat="1" spans="1:15">
      <c r="A6706">
        <v>8587</v>
      </c>
      <c r="B6706" t="s">
        <v>6921</v>
      </c>
      <c r="C6706" t="str">
        <f>"460028199302220846"</f>
        <v>460028199302220846</v>
      </c>
      <c r="D6706" t="str">
        <f>"248030401901"</f>
        <v>248030401901</v>
      </c>
      <c r="L6706">
        <v>8587</v>
      </c>
      <c r="M6706" t="s">
        <v>6921</v>
      </c>
      <c r="N6706" t="str">
        <f>"248030401901"</f>
        <v>248030401901</v>
      </c>
      <c r="O6706" t="str">
        <f>"460028199302220846"</f>
        <v>460028199302220846</v>
      </c>
    </row>
    <row r="6707" customFormat="1" spans="1:15">
      <c r="A6707">
        <v>8588</v>
      </c>
      <c r="B6707" t="s">
        <v>699</v>
      </c>
      <c r="C6707" t="str">
        <f>"460102199807210020"</f>
        <v>460102199807210020</v>
      </c>
      <c r="L6707">
        <v>8588</v>
      </c>
      <c r="M6707" t="s">
        <v>699</v>
      </c>
      <c r="O6707" t="str">
        <f>"460102199807210020"</f>
        <v>460102199807210020</v>
      </c>
    </row>
    <row r="6708" customFormat="1" spans="1:15">
      <c r="A6708">
        <v>8589</v>
      </c>
      <c r="B6708" t="s">
        <v>6922</v>
      </c>
      <c r="C6708" t="str">
        <f>"460003199701082631"</f>
        <v>460003199701082631</v>
      </c>
      <c r="D6708" t="str">
        <f>"248030401008"</f>
        <v>248030401008</v>
      </c>
      <c r="L6708">
        <v>8589</v>
      </c>
      <c r="M6708" t="s">
        <v>6922</v>
      </c>
      <c r="N6708" t="str">
        <f>"248030401008"</f>
        <v>248030401008</v>
      </c>
      <c r="O6708" t="str">
        <f>"460003199701082631"</f>
        <v>460003199701082631</v>
      </c>
    </row>
    <row r="6709" customFormat="1" spans="1:15">
      <c r="A6709">
        <v>8590</v>
      </c>
      <c r="B6709" t="s">
        <v>6923</v>
      </c>
      <c r="C6709" t="str">
        <f>"610104198911102122"</f>
        <v>610104198911102122</v>
      </c>
      <c r="D6709" t="str">
        <f>"248030503330"</f>
        <v>248030503330</v>
      </c>
      <c r="L6709">
        <v>8590</v>
      </c>
      <c r="M6709" t="s">
        <v>6923</v>
      </c>
      <c r="N6709" t="str">
        <f>"248030503330"</f>
        <v>248030503330</v>
      </c>
      <c r="O6709" t="str">
        <f>"610104198911102122"</f>
        <v>610104198911102122</v>
      </c>
    </row>
    <row r="6710" customFormat="1" spans="1:15">
      <c r="A6710">
        <v>8593</v>
      </c>
      <c r="B6710" t="s">
        <v>6924</v>
      </c>
      <c r="C6710" t="str">
        <f>"460004199610220222"</f>
        <v>460004199610220222</v>
      </c>
      <c r="D6710" t="str">
        <f>"248030502326"</f>
        <v>248030502326</v>
      </c>
      <c r="L6710">
        <v>8593</v>
      </c>
      <c r="M6710" t="s">
        <v>6924</v>
      </c>
      <c r="N6710" t="str">
        <f>"248030502326"</f>
        <v>248030502326</v>
      </c>
      <c r="O6710" t="str">
        <f>"460004199610220222"</f>
        <v>460004199610220222</v>
      </c>
    </row>
    <row r="6711" customFormat="1" spans="1:15">
      <c r="A6711">
        <v>8594</v>
      </c>
      <c r="B6711" t="s">
        <v>6925</v>
      </c>
      <c r="C6711" t="str">
        <f>"46900720020319762X"</f>
        <v>46900720020319762X</v>
      </c>
      <c r="D6711" t="str">
        <f>"248030401628"</f>
        <v>248030401628</v>
      </c>
      <c r="L6711">
        <v>8594</v>
      </c>
      <c r="M6711" t="s">
        <v>6925</v>
      </c>
      <c r="N6711" t="str">
        <f>"248030401628"</f>
        <v>248030401628</v>
      </c>
      <c r="O6711" t="str">
        <f>"46900720020319762X"</f>
        <v>46900720020319762X</v>
      </c>
    </row>
    <row r="6712" customFormat="1" spans="1:15">
      <c r="A6712">
        <v>8595</v>
      </c>
      <c r="B6712" t="s">
        <v>6926</v>
      </c>
      <c r="C6712" t="str">
        <f>"460007199006015766"</f>
        <v>460007199006015766</v>
      </c>
      <c r="D6712" t="str">
        <f>"248030301221"</f>
        <v>248030301221</v>
      </c>
      <c r="L6712">
        <v>8595</v>
      </c>
      <c r="M6712" t="s">
        <v>6926</v>
      </c>
      <c r="N6712" t="str">
        <f>"248030301221"</f>
        <v>248030301221</v>
      </c>
      <c r="O6712" t="str">
        <f>"460007199006015766"</f>
        <v>460007199006015766</v>
      </c>
    </row>
    <row r="6713" customFormat="1" spans="1:15">
      <c r="A6713">
        <v>8596</v>
      </c>
      <c r="B6713" t="s">
        <v>6927</v>
      </c>
      <c r="C6713" t="str">
        <f>"460003200206060019"</f>
        <v>460003200206060019</v>
      </c>
      <c r="D6713" t="str">
        <f>"248030103814"</f>
        <v>248030103814</v>
      </c>
      <c r="L6713">
        <v>8596</v>
      </c>
      <c r="M6713" t="s">
        <v>6927</v>
      </c>
      <c r="N6713" t="str">
        <f>"248030103814"</f>
        <v>248030103814</v>
      </c>
      <c r="O6713" t="str">
        <f>"460003200206060019"</f>
        <v>460003200206060019</v>
      </c>
    </row>
    <row r="6714" customFormat="1" spans="1:15">
      <c r="A6714">
        <v>8597</v>
      </c>
      <c r="B6714" t="s">
        <v>6928</v>
      </c>
      <c r="C6714" t="str">
        <f>"43062120000909042X"</f>
        <v>43062120000909042X</v>
      </c>
      <c r="L6714">
        <v>8597</v>
      </c>
      <c r="M6714" t="s">
        <v>6928</v>
      </c>
      <c r="O6714" t="str">
        <f>"43062120000909042X"</f>
        <v>43062120000909042X</v>
      </c>
    </row>
    <row r="6715" customFormat="1" spans="1:15">
      <c r="A6715">
        <v>8598</v>
      </c>
      <c r="B6715" t="s">
        <v>6929</v>
      </c>
      <c r="C6715" t="str">
        <f>"460200199612103340"</f>
        <v>460200199612103340</v>
      </c>
      <c r="D6715" t="str">
        <f>"248030301722"</f>
        <v>248030301722</v>
      </c>
      <c r="L6715">
        <v>8598</v>
      </c>
      <c r="M6715" t="s">
        <v>6929</v>
      </c>
      <c r="N6715" t="str">
        <f>"248030301722"</f>
        <v>248030301722</v>
      </c>
      <c r="O6715" t="str">
        <f>"460200199612103340"</f>
        <v>460200199612103340</v>
      </c>
    </row>
    <row r="6716" customFormat="1" spans="1:15">
      <c r="A6716">
        <v>8599</v>
      </c>
      <c r="B6716" t="s">
        <v>6930</v>
      </c>
      <c r="C6716" t="str">
        <f>"460200199910091405"</f>
        <v>460200199910091405</v>
      </c>
      <c r="L6716">
        <v>8599</v>
      </c>
      <c r="M6716" t="s">
        <v>6930</v>
      </c>
      <c r="O6716" t="str">
        <f>"460200199910091405"</f>
        <v>460200199910091405</v>
      </c>
    </row>
    <row r="6717" customFormat="1" spans="1:15">
      <c r="A6717">
        <v>8600</v>
      </c>
      <c r="B6717" t="s">
        <v>6931</v>
      </c>
      <c r="C6717" t="str">
        <f>"340123199208166069"</f>
        <v>340123199208166069</v>
      </c>
      <c r="L6717">
        <v>8600</v>
      </c>
      <c r="M6717" t="s">
        <v>6931</v>
      </c>
      <c r="O6717" t="str">
        <f>"340123199208166069"</f>
        <v>340123199208166069</v>
      </c>
    </row>
    <row r="6718" customFormat="1" spans="1:15">
      <c r="A6718">
        <v>8603</v>
      </c>
      <c r="B6718" t="s">
        <v>5593</v>
      </c>
      <c r="C6718" t="str">
        <f>"360302198307245043"</f>
        <v>360302198307245043</v>
      </c>
      <c r="D6718" t="str">
        <f>"248030501027"</f>
        <v>248030501027</v>
      </c>
      <c r="L6718">
        <v>8603</v>
      </c>
      <c r="M6718" t="s">
        <v>5593</v>
      </c>
      <c r="N6718" t="str">
        <f>"248030501027"</f>
        <v>248030501027</v>
      </c>
      <c r="O6718" t="str">
        <f>"360302198307245043"</f>
        <v>360302198307245043</v>
      </c>
    </row>
    <row r="6719" customFormat="1" spans="1:15">
      <c r="A6719">
        <v>8605</v>
      </c>
      <c r="B6719" t="s">
        <v>6932</v>
      </c>
      <c r="C6719" t="str">
        <f>"460027200202046229"</f>
        <v>460027200202046229</v>
      </c>
      <c r="D6719" t="str">
        <f>"248030301820"</f>
        <v>248030301820</v>
      </c>
      <c r="L6719">
        <v>8605</v>
      </c>
      <c r="M6719" t="s">
        <v>6932</v>
      </c>
      <c r="N6719" t="str">
        <f>"248030301820"</f>
        <v>248030301820</v>
      </c>
      <c r="O6719" t="str">
        <f>"460027200202046229"</f>
        <v>460027200202046229</v>
      </c>
    </row>
    <row r="6720" customFormat="1" spans="1:15">
      <c r="A6720">
        <v>8606</v>
      </c>
      <c r="B6720" t="s">
        <v>6933</v>
      </c>
      <c r="C6720" t="str">
        <f>"460027200010150048"</f>
        <v>460027200010150048</v>
      </c>
      <c r="L6720">
        <v>8606</v>
      </c>
      <c r="M6720" t="s">
        <v>6933</v>
      </c>
      <c r="O6720" t="str">
        <f>"460027200010150048"</f>
        <v>460027200010150048</v>
      </c>
    </row>
    <row r="6721" customFormat="1" spans="1:15">
      <c r="A6721">
        <v>8607</v>
      </c>
      <c r="B6721" t="s">
        <v>6934</v>
      </c>
      <c r="C6721" t="str">
        <f>"460027200204181723"</f>
        <v>460027200204181723</v>
      </c>
      <c r="D6721" t="str">
        <f>"248030503706"</f>
        <v>248030503706</v>
      </c>
      <c r="L6721">
        <v>8607</v>
      </c>
      <c r="M6721" t="s">
        <v>6934</v>
      </c>
      <c r="N6721" t="str">
        <f>"248030503706"</f>
        <v>248030503706</v>
      </c>
      <c r="O6721" t="str">
        <f>"460027200204181723"</f>
        <v>460027200204181723</v>
      </c>
    </row>
    <row r="6722" customFormat="1" spans="1:15">
      <c r="A6722">
        <v>8608</v>
      </c>
      <c r="B6722" t="s">
        <v>6935</v>
      </c>
      <c r="C6722" t="str">
        <f>"460200199510283344"</f>
        <v>460200199510283344</v>
      </c>
      <c r="D6722" t="str">
        <f>"248030300221"</f>
        <v>248030300221</v>
      </c>
      <c r="L6722">
        <v>8608</v>
      </c>
      <c r="M6722" t="s">
        <v>6935</v>
      </c>
      <c r="N6722" t="str">
        <f>"248030300221"</f>
        <v>248030300221</v>
      </c>
      <c r="O6722" t="str">
        <f>"460200199510283344"</f>
        <v>460200199510283344</v>
      </c>
    </row>
    <row r="6723" customFormat="1" spans="1:15">
      <c r="A6723">
        <v>8609</v>
      </c>
      <c r="B6723" t="s">
        <v>1246</v>
      </c>
      <c r="C6723" t="str">
        <f>"460103200204141523"</f>
        <v>460103200204141523</v>
      </c>
      <c r="D6723" t="str">
        <f>"248030102430"</f>
        <v>248030102430</v>
      </c>
      <c r="L6723">
        <v>8609</v>
      </c>
      <c r="M6723" t="s">
        <v>1246</v>
      </c>
      <c r="N6723" t="str">
        <f>"248030102430"</f>
        <v>248030102430</v>
      </c>
      <c r="O6723" t="str">
        <f>"460103200204141523"</f>
        <v>460103200204141523</v>
      </c>
    </row>
    <row r="6724" customFormat="1" spans="1:15">
      <c r="A6724">
        <v>8610</v>
      </c>
      <c r="B6724" t="s">
        <v>2101</v>
      </c>
      <c r="C6724" t="str">
        <f>"460007199905200420"</f>
        <v>460007199905200420</v>
      </c>
      <c r="L6724">
        <v>8610</v>
      </c>
      <c r="M6724" t="s">
        <v>2101</v>
      </c>
      <c r="O6724" t="str">
        <f>"460007199905200420"</f>
        <v>460007199905200420</v>
      </c>
    </row>
    <row r="6725" customFormat="1" spans="1:15">
      <c r="A6725">
        <v>8612</v>
      </c>
      <c r="B6725" t="s">
        <v>6936</v>
      </c>
      <c r="C6725" t="str">
        <f>"460102199205190026"</f>
        <v>460102199205190026</v>
      </c>
      <c r="D6725" t="str">
        <f>"248030103426"</f>
        <v>248030103426</v>
      </c>
      <c r="L6725">
        <v>8612</v>
      </c>
      <c r="M6725" t="s">
        <v>6936</v>
      </c>
      <c r="N6725" t="str">
        <f>"248030103426"</f>
        <v>248030103426</v>
      </c>
      <c r="O6725" t="str">
        <f>"460102199205190026"</f>
        <v>460102199205190026</v>
      </c>
    </row>
    <row r="6726" customFormat="1" spans="1:15">
      <c r="A6726">
        <v>8614</v>
      </c>
      <c r="B6726" t="s">
        <v>6937</v>
      </c>
      <c r="C6726" t="str">
        <f>"469003200111167014"</f>
        <v>469003200111167014</v>
      </c>
      <c r="D6726" t="str">
        <f>"248030400801"</f>
        <v>248030400801</v>
      </c>
      <c r="L6726">
        <v>8614</v>
      </c>
      <c r="M6726" t="s">
        <v>6937</v>
      </c>
      <c r="N6726" t="str">
        <f>"248030400801"</f>
        <v>248030400801</v>
      </c>
      <c r="O6726" t="str">
        <f>"469003200111167014"</f>
        <v>469003200111167014</v>
      </c>
    </row>
    <row r="6727" customFormat="1" spans="1:15">
      <c r="A6727">
        <v>8615</v>
      </c>
      <c r="B6727" t="s">
        <v>6938</v>
      </c>
      <c r="C6727" t="str">
        <f>"420821198501014022"</f>
        <v>420821198501014022</v>
      </c>
      <c r="L6727">
        <v>8615</v>
      </c>
      <c r="M6727" t="s">
        <v>6938</v>
      </c>
      <c r="O6727" t="str">
        <f>"420821198501014022"</f>
        <v>420821198501014022</v>
      </c>
    </row>
    <row r="6728" customFormat="1" spans="1:15">
      <c r="A6728">
        <v>8616</v>
      </c>
      <c r="B6728" t="s">
        <v>6939</v>
      </c>
      <c r="C6728" t="str">
        <f>"460102199808271511"</f>
        <v>460102199808271511</v>
      </c>
      <c r="L6728">
        <v>8616</v>
      </c>
      <c r="M6728" t="s">
        <v>6939</v>
      </c>
      <c r="O6728" t="str">
        <f>"460102199808271511"</f>
        <v>460102199808271511</v>
      </c>
    </row>
    <row r="6729" customFormat="1" spans="1:15">
      <c r="A6729">
        <v>8618</v>
      </c>
      <c r="B6729" t="s">
        <v>6940</v>
      </c>
      <c r="C6729" t="str">
        <f>"460103199707231816"</f>
        <v>460103199707231816</v>
      </c>
      <c r="D6729" t="str">
        <f>"248030200625"</f>
        <v>248030200625</v>
      </c>
      <c r="L6729">
        <v>8618</v>
      </c>
      <c r="M6729" t="s">
        <v>6940</v>
      </c>
      <c r="N6729" t="str">
        <f>"248030200625"</f>
        <v>248030200625</v>
      </c>
      <c r="O6729" t="str">
        <f>"460103199707231816"</f>
        <v>460103199707231816</v>
      </c>
    </row>
    <row r="6730" customFormat="1" spans="1:15">
      <c r="A6730">
        <v>8619</v>
      </c>
      <c r="B6730" t="s">
        <v>6941</v>
      </c>
      <c r="C6730" t="str">
        <f>"46002719960711006X"</f>
        <v>46002719960711006X</v>
      </c>
      <c r="D6730" t="str">
        <f>"248030403020"</f>
        <v>248030403020</v>
      </c>
      <c r="L6730">
        <v>8619</v>
      </c>
      <c r="M6730" t="s">
        <v>6941</v>
      </c>
      <c r="N6730" t="str">
        <f>"248030403020"</f>
        <v>248030403020</v>
      </c>
      <c r="O6730" t="str">
        <f>"46002719960711006X"</f>
        <v>46002719960711006X</v>
      </c>
    </row>
    <row r="6731" customFormat="1" spans="1:15">
      <c r="A6731">
        <v>8621</v>
      </c>
      <c r="B6731" t="s">
        <v>6942</v>
      </c>
      <c r="C6731" t="str">
        <f>"460002199701116022"</f>
        <v>460002199701116022</v>
      </c>
      <c r="D6731" t="str">
        <f>"248030102804"</f>
        <v>248030102804</v>
      </c>
      <c r="L6731">
        <v>8621</v>
      </c>
      <c r="M6731" t="s">
        <v>6942</v>
      </c>
      <c r="N6731" t="str">
        <f>"248030102804"</f>
        <v>248030102804</v>
      </c>
      <c r="O6731" t="str">
        <f>"460002199701116022"</f>
        <v>460002199701116022</v>
      </c>
    </row>
    <row r="6732" customFormat="1" spans="1:15">
      <c r="A6732">
        <v>8624</v>
      </c>
      <c r="B6732" t="s">
        <v>6943</v>
      </c>
      <c r="C6732" t="str">
        <f>"460102200107310640"</f>
        <v>460102200107310640</v>
      </c>
      <c r="L6732">
        <v>8624</v>
      </c>
      <c r="M6732" t="s">
        <v>6943</v>
      </c>
      <c r="O6732" t="str">
        <f>"460102200107310640"</f>
        <v>460102200107310640</v>
      </c>
    </row>
    <row r="6733" customFormat="1" spans="1:15">
      <c r="A6733">
        <v>8625</v>
      </c>
      <c r="B6733" t="s">
        <v>6944</v>
      </c>
      <c r="C6733" t="str">
        <f>"460003199606254618"</f>
        <v>460003199606254618</v>
      </c>
      <c r="L6733">
        <v>8625</v>
      </c>
      <c r="M6733" t="s">
        <v>6944</v>
      </c>
      <c r="O6733" t="str">
        <f>"460003199606254618"</f>
        <v>460003199606254618</v>
      </c>
    </row>
    <row r="6734" customFormat="1" spans="1:15">
      <c r="A6734">
        <v>8626</v>
      </c>
      <c r="B6734" t="s">
        <v>6945</v>
      </c>
      <c r="C6734" t="str">
        <f>"460003200106172427"</f>
        <v>460003200106172427</v>
      </c>
      <c r="D6734" t="str">
        <f>"248030101311"</f>
        <v>248030101311</v>
      </c>
      <c r="L6734">
        <v>8626</v>
      </c>
      <c r="M6734" t="s">
        <v>6945</v>
      </c>
      <c r="N6734" t="str">
        <f>"248030101311"</f>
        <v>248030101311</v>
      </c>
      <c r="O6734" t="str">
        <f>"460003200106172427"</f>
        <v>460003200106172427</v>
      </c>
    </row>
    <row r="6735" customFormat="1" spans="1:15">
      <c r="A6735">
        <v>8628</v>
      </c>
      <c r="B6735" t="s">
        <v>6946</v>
      </c>
      <c r="C6735" t="str">
        <f>"460033199502264529"</f>
        <v>460033199502264529</v>
      </c>
      <c r="D6735" t="str">
        <f>"248030502013"</f>
        <v>248030502013</v>
      </c>
      <c r="L6735">
        <v>8628</v>
      </c>
      <c r="M6735" t="s">
        <v>6946</v>
      </c>
      <c r="N6735" t="str">
        <f>"248030502013"</f>
        <v>248030502013</v>
      </c>
      <c r="O6735" t="str">
        <f>"460033199502264529"</f>
        <v>460033199502264529</v>
      </c>
    </row>
    <row r="6736" customFormat="1" spans="1:15">
      <c r="A6736">
        <v>8630</v>
      </c>
      <c r="B6736" t="s">
        <v>6947</v>
      </c>
      <c r="C6736" t="str">
        <f>"469024200010105625"</f>
        <v>469024200010105625</v>
      </c>
      <c r="D6736" t="str">
        <f>"248030103419"</f>
        <v>248030103419</v>
      </c>
      <c r="L6736">
        <v>8630</v>
      </c>
      <c r="M6736" t="s">
        <v>6947</v>
      </c>
      <c r="N6736" t="str">
        <f>"248030103419"</f>
        <v>248030103419</v>
      </c>
      <c r="O6736" t="str">
        <f>"469024200010105625"</f>
        <v>469024200010105625</v>
      </c>
    </row>
    <row r="6737" customFormat="1" spans="1:15">
      <c r="A6737">
        <v>8632</v>
      </c>
      <c r="B6737" t="s">
        <v>6948</v>
      </c>
      <c r="C6737" t="str">
        <f>"460034199101022728"</f>
        <v>460034199101022728</v>
      </c>
      <c r="L6737">
        <v>8632</v>
      </c>
      <c r="M6737" t="s">
        <v>6948</v>
      </c>
      <c r="O6737" t="str">
        <f>"460034199101022728"</f>
        <v>460034199101022728</v>
      </c>
    </row>
    <row r="6738" customFormat="1" spans="1:15">
      <c r="A6738">
        <v>8633</v>
      </c>
      <c r="B6738" t="s">
        <v>2772</v>
      </c>
      <c r="C6738" t="str">
        <f>"362204199203206115"</f>
        <v>362204199203206115</v>
      </c>
      <c r="L6738">
        <v>8633</v>
      </c>
      <c r="M6738" t="s">
        <v>2772</v>
      </c>
      <c r="O6738" t="str">
        <f>"362204199203206115"</f>
        <v>362204199203206115</v>
      </c>
    </row>
    <row r="6739" customFormat="1" spans="1:15">
      <c r="A6739">
        <v>8634</v>
      </c>
      <c r="B6739" t="s">
        <v>6949</v>
      </c>
      <c r="C6739" t="str">
        <f>"152502199104080929"</f>
        <v>152502199104080929</v>
      </c>
      <c r="D6739" t="str">
        <f>"248030502927"</f>
        <v>248030502927</v>
      </c>
      <c r="L6739">
        <v>8634</v>
      </c>
      <c r="M6739" t="s">
        <v>6949</v>
      </c>
      <c r="N6739" t="str">
        <f>"248030502927"</f>
        <v>248030502927</v>
      </c>
      <c r="O6739" t="str">
        <f>"152502199104080929"</f>
        <v>152502199104080929</v>
      </c>
    </row>
    <row r="6740" customFormat="1" spans="1:15">
      <c r="A6740">
        <v>8636</v>
      </c>
      <c r="B6740" t="s">
        <v>6950</v>
      </c>
      <c r="C6740" t="str">
        <f>"430426200212170266"</f>
        <v>430426200212170266</v>
      </c>
      <c r="D6740" t="str">
        <f>"248030302026"</f>
        <v>248030302026</v>
      </c>
      <c r="L6740">
        <v>8636</v>
      </c>
      <c r="M6740" t="s">
        <v>6950</v>
      </c>
      <c r="N6740" t="str">
        <f>"248030302026"</f>
        <v>248030302026</v>
      </c>
      <c r="O6740" t="str">
        <f>"430426200212170266"</f>
        <v>430426200212170266</v>
      </c>
    </row>
    <row r="6741" customFormat="1" spans="1:15">
      <c r="A6741">
        <v>8637</v>
      </c>
      <c r="B6741" t="s">
        <v>6951</v>
      </c>
      <c r="C6741" t="str">
        <f>"460004199502044620"</f>
        <v>460004199502044620</v>
      </c>
      <c r="D6741" t="str">
        <f>"248030504219"</f>
        <v>248030504219</v>
      </c>
      <c r="L6741">
        <v>8637</v>
      </c>
      <c r="M6741" t="s">
        <v>6951</v>
      </c>
      <c r="N6741" t="str">
        <f>"248030504219"</f>
        <v>248030504219</v>
      </c>
      <c r="O6741" t="str">
        <f>"460004199502044620"</f>
        <v>460004199502044620</v>
      </c>
    </row>
    <row r="6742" customFormat="1" spans="1:15">
      <c r="A6742">
        <v>8638</v>
      </c>
      <c r="B6742" t="s">
        <v>6952</v>
      </c>
      <c r="C6742" t="str">
        <f>"460002200011281827"</f>
        <v>460002200011281827</v>
      </c>
      <c r="L6742">
        <v>8638</v>
      </c>
      <c r="M6742" t="s">
        <v>6952</v>
      </c>
      <c r="O6742" t="str">
        <f>"460002200011281827"</f>
        <v>460002200011281827</v>
      </c>
    </row>
    <row r="6743" customFormat="1" spans="1:15">
      <c r="A6743">
        <v>8639</v>
      </c>
      <c r="B6743" t="s">
        <v>6953</v>
      </c>
      <c r="C6743" t="str">
        <f>"370404200003013710"</f>
        <v>370404200003013710</v>
      </c>
      <c r="D6743" t="str">
        <f>"248030202015"</f>
        <v>248030202015</v>
      </c>
      <c r="L6743">
        <v>8639</v>
      </c>
      <c r="M6743" t="s">
        <v>6953</v>
      </c>
      <c r="N6743" t="str">
        <f>"248030202015"</f>
        <v>248030202015</v>
      </c>
      <c r="O6743" t="str">
        <f>"370404200003013710"</f>
        <v>370404200003013710</v>
      </c>
    </row>
    <row r="6744" customFormat="1" spans="1:15">
      <c r="A6744">
        <v>8641</v>
      </c>
      <c r="B6744" t="s">
        <v>6954</v>
      </c>
      <c r="C6744" t="str">
        <f>"460004199010022628"</f>
        <v>460004199010022628</v>
      </c>
      <c r="D6744" t="str">
        <f>"248030401819"</f>
        <v>248030401819</v>
      </c>
      <c r="L6744">
        <v>8641</v>
      </c>
      <c r="M6744" t="s">
        <v>6954</v>
      </c>
      <c r="N6744" t="str">
        <f>"248030401819"</f>
        <v>248030401819</v>
      </c>
      <c r="O6744" t="str">
        <f>"460004199010022628"</f>
        <v>460004199010022628</v>
      </c>
    </row>
    <row r="6745" customFormat="1" spans="1:15">
      <c r="A6745">
        <v>8642</v>
      </c>
      <c r="B6745" t="s">
        <v>3476</v>
      </c>
      <c r="C6745" t="str">
        <f>"460028200108236823"</f>
        <v>460028200108236823</v>
      </c>
      <c r="D6745" t="str">
        <f>"248030302201"</f>
        <v>248030302201</v>
      </c>
      <c r="L6745">
        <v>8642</v>
      </c>
      <c r="M6745" t="s">
        <v>3476</v>
      </c>
      <c r="N6745" t="str">
        <f>"248030302201"</f>
        <v>248030302201</v>
      </c>
      <c r="O6745" t="str">
        <f>"460028200108236823"</f>
        <v>460028200108236823</v>
      </c>
    </row>
    <row r="6746" customFormat="1" spans="1:15">
      <c r="A6746">
        <v>8643</v>
      </c>
      <c r="B6746" t="s">
        <v>6955</v>
      </c>
      <c r="C6746" t="str">
        <f>"460027199506260624"</f>
        <v>460027199506260624</v>
      </c>
      <c r="D6746" t="str">
        <f>"248030104607"</f>
        <v>248030104607</v>
      </c>
      <c r="L6746">
        <v>8643</v>
      </c>
      <c r="M6746" t="s">
        <v>6955</v>
      </c>
      <c r="N6746" t="str">
        <f>"248030104607"</f>
        <v>248030104607</v>
      </c>
      <c r="O6746" t="str">
        <f>"460027199506260624"</f>
        <v>460027199506260624</v>
      </c>
    </row>
    <row r="6747" customFormat="1" spans="1:15">
      <c r="A6747">
        <v>8646</v>
      </c>
      <c r="B6747" t="s">
        <v>6956</v>
      </c>
      <c r="C6747" t="str">
        <f>"460004199909254048"</f>
        <v>460004199909254048</v>
      </c>
      <c r="D6747" t="str">
        <f>"248030100506"</f>
        <v>248030100506</v>
      </c>
      <c r="L6747">
        <v>8646</v>
      </c>
      <c r="M6747" t="s">
        <v>6956</v>
      </c>
      <c r="N6747" t="str">
        <f>"248030100506"</f>
        <v>248030100506</v>
      </c>
      <c r="O6747" t="str">
        <f>"460004199909254048"</f>
        <v>460004199909254048</v>
      </c>
    </row>
    <row r="6748" customFormat="1" spans="1:15">
      <c r="A6748">
        <v>8647</v>
      </c>
      <c r="B6748" t="s">
        <v>6957</v>
      </c>
      <c r="C6748" t="str">
        <f>"460028199809023622"</f>
        <v>460028199809023622</v>
      </c>
      <c r="L6748">
        <v>8647</v>
      </c>
      <c r="M6748" t="s">
        <v>6957</v>
      </c>
      <c r="O6748" t="str">
        <f>"460028199809023622"</f>
        <v>460028199809023622</v>
      </c>
    </row>
    <row r="6749" customFormat="1" spans="1:15">
      <c r="A6749">
        <v>8648</v>
      </c>
      <c r="B6749" t="s">
        <v>6958</v>
      </c>
      <c r="C6749" t="str">
        <f>"46000320010617262X"</f>
        <v>46000320010617262X</v>
      </c>
      <c r="L6749">
        <v>8648</v>
      </c>
      <c r="M6749" t="s">
        <v>6958</v>
      </c>
      <c r="O6749" t="str">
        <f>"46000320010617262X"</f>
        <v>46000320010617262X</v>
      </c>
    </row>
    <row r="6750" customFormat="1" spans="1:15">
      <c r="A6750">
        <v>8649</v>
      </c>
      <c r="B6750" t="s">
        <v>6959</v>
      </c>
      <c r="C6750" t="str">
        <f>"460003199807014629"</f>
        <v>460003199807014629</v>
      </c>
      <c r="L6750">
        <v>8649</v>
      </c>
      <c r="M6750" t="s">
        <v>6959</v>
      </c>
      <c r="O6750" t="str">
        <f>"460003199807014629"</f>
        <v>460003199807014629</v>
      </c>
    </row>
    <row r="6751" customFormat="1" spans="1:15">
      <c r="A6751">
        <v>8651</v>
      </c>
      <c r="B6751" t="s">
        <v>6960</v>
      </c>
      <c r="C6751" t="str">
        <f>"460002199703105423"</f>
        <v>460002199703105423</v>
      </c>
      <c r="D6751" t="str">
        <f>"248030104529"</f>
        <v>248030104529</v>
      </c>
      <c r="L6751">
        <v>8651</v>
      </c>
      <c r="M6751" t="s">
        <v>6960</v>
      </c>
      <c r="N6751" t="str">
        <f>"248030104529"</f>
        <v>248030104529</v>
      </c>
      <c r="O6751" t="str">
        <f>"460002199703105423"</f>
        <v>460002199703105423</v>
      </c>
    </row>
    <row r="6752" customFormat="1" spans="1:15">
      <c r="A6752">
        <v>8652</v>
      </c>
      <c r="B6752" t="s">
        <v>6961</v>
      </c>
      <c r="C6752" t="str">
        <f>"34242619920401142X"</f>
        <v>34242619920401142X</v>
      </c>
      <c r="L6752">
        <v>8652</v>
      </c>
      <c r="M6752" t="s">
        <v>6961</v>
      </c>
      <c r="O6752" t="str">
        <f>"34242619920401142X"</f>
        <v>34242619920401142X</v>
      </c>
    </row>
    <row r="6753" customFormat="1" spans="1:15">
      <c r="A6753">
        <v>8653</v>
      </c>
      <c r="B6753" t="s">
        <v>6962</v>
      </c>
      <c r="C6753" t="str">
        <f>"460022199709283912"</f>
        <v>460022199709283912</v>
      </c>
      <c r="D6753" t="str">
        <f>"248030104027"</f>
        <v>248030104027</v>
      </c>
      <c r="L6753">
        <v>8653</v>
      </c>
      <c r="M6753" t="s">
        <v>6962</v>
      </c>
      <c r="N6753" t="str">
        <f>"248030104027"</f>
        <v>248030104027</v>
      </c>
      <c r="O6753" t="str">
        <f>"460022199709283912"</f>
        <v>460022199709283912</v>
      </c>
    </row>
    <row r="6754" customFormat="1" spans="1:15">
      <c r="A6754">
        <v>8654</v>
      </c>
      <c r="B6754" t="s">
        <v>6963</v>
      </c>
      <c r="C6754" t="str">
        <f>"460028200103200821"</f>
        <v>460028200103200821</v>
      </c>
      <c r="D6754" t="str">
        <f>"248030102504"</f>
        <v>248030102504</v>
      </c>
      <c r="L6754">
        <v>8654</v>
      </c>
      <c r="M6754" t="s">
        <v>6963</v>
      </c>
      <c r="N6754" t="str">
        <f>"248030102504"</f>
        <v>248030102504</v>
      </c>
      <c r="O6754" t="str">
        <f>"460028200103200821"</f>
        <v>460028200103200821</v>
      </c>
    </row>
    <row r="6755" customFormat="1" spans="1:15">
      <c r="A6755">
        <v>8655</v>
      </c>
      <c r="B6755" t="s">
        <v>6964</v>
      </c>
      <c r="C6755" t="str">
        <f>"469003200002202781"</f>
        <v>469003200002202781</v>
      </c>
      <c r="L6755">
        <v>8655</v>
      </c>
      <c r="M6755" t="s">
        <v>6964</v>
      </c>
      <c r="O6755" t="str">
        <f>"469003200002202781"</f>
        <v>469003200002202781</v>
      </c>
    </row>
    <row r="6756" customFormat="1" spans="1:15">
      <c r="A6756">
        <v>8656</v>
      </c>
      <c r="B6756" t="s">
        <v>6965</v>
      </c>
      <c r="C6756" t="str">
        <f>"622722199612180255"</f>
        <v>622722199612180255</v>
      </c>
      <c r="L6756">
        <v>8656</v>
      </c>
      <c r="M6756" t="s">
        <v>6965</v>
      </c>
      <c r="O6756" t="str">
        <f>"622722199612180255"</f>
        <v>622722199612180255</v>
      </c>
    </row>
    <row r="6757" customFormat="1" spans="1:15">
      <c r="A6757">
        <v>8657</v>
      </c>
      <c r="B6757" t="s">
        <v>6966</v>
      </c>
      <c r="C6757" t="str">
        <f>"46010219900516064X"</f>
        <v>46010219900516064X</v>
      </c>
      <c r="L6757">
        <v>8657</v>
      </c>
      <c r="M6757" t="s">
        <v>6966</v>
      </c>
      <c r="O6757" t="str">
        <f>"46010219900516064X"</f>
        <v>46010219900516064X</v>
      </c>
    </row>
    <row r="6758" customFormat="1" spans="1:15">
      <c r="A6758">
        <v>8658</v>
      </c>
      <c r="B6758" t="s">
        <v>6967</v>
      </c>
      <c r="C6758" t="str">
        <f>"460033199210067160"</f>
        <v>460033199210067160</v>
      </c>
      <c r="D6758" t="str">
        <f>"248030101303"</f>
        <v>248030101303</v>
      </c>
      <c r="L6758">
        <v>8658</v>
      </c>
      <c r="M6758" t="s">
        <v>6967</v>
      </c>
      <c r="N6758" t="str">
        <f>"248030101303"</f>
        <v>248030101303</v>
      </c>
      <c r="O6758" t="str">
        <f>"460033199210067160"</f>
        <v>460033199210067160</v>
      </c>
    </row>
    <row r="6759" customFormat="1" spans="1:15">
      <c r="A6759">
        <v>8659</v>
      </c>
      <c r="B6759" t="s">
        <v>6968</v>
      </c>
      <c r="C6759" t="str">
        <f>"13070319950315152X"</f>
        <v>13070319950315152X</v>
      </c>
      <c r="D6759" t="str">
        <f>"248030501524"</f>
        <v>248030501524</v>
      </c>
      <c r="L6759">
        <v>8659</v>
      </c>
      <c r="M6759" t="s">
        <v>6968</v>
      </c>
      <c r="N6759" t="str">
        <f>"248030501524"</f>
        <v>248030501524</v>
      </c>
      <c r="O6759" t="str">
        <f>"13070319950315152X"</f>
        <v>13070319950315152X</v>
      </c>
    </row>
    <row r="6760" customFormat="1" spans="1:15">
      <c r="A6760">
        <v>8661</v>
      </c>
      <c r="B6760" t="s">
        <v>6969</v>
      </c>
      <c r="C6760" t="str">
        <f>"469023200010112028"</f>
        <v>469023200010112028</v>
      </c>
      <c r="D6760" t="str">
        <f>"248030502602"</f>
        <v>248030502602</v>
      </c>
      <c r="L6760">
        <v>8661</v>
      </c>
      <c r="M6760" t="s">
        <v>6969</v>
      </c>
      <c r="N6760" t="str">
        <f>"248030502602"</f>
        <v>248030502602</v>
      </c>
      <c r="O6760" t="str">
        <f>"469023200010112028"</f>
        <v>469023200010112028</v>
      </c>
    </row>
    <row r="6761" customFormat="1" spans="1:15">
      <c r="A6761">
        <v>8662</v>
      </c>
      <c r="B6761" t="s">
        <v>6970</v>
      </c>
      <c r="C6761" t="str">
        <f>"46000620020320782X"</f>
        <v>46000620020320782X</v>
      </c>
      <c r="D6761" t="str">
        <f>"248030100621"</f>
        <v>248030100621</v>
      </c>
      <c r="L6761">
        <v>8662</v>
      </c>
      <c r="M6761" t="s">
        <v>6970</v>
      </c>
      <c r="N6761" t="str">
        <f>"248030100621"</f>
        <v>248030100621</v>
      </c>
      <c r="O6761" t="str">
        <f>"46000620020320782X"</f>
        <v>46000620020320782X</v>
      </c>
    </row>
    <row r="6762" customFormat="1" spans="1:15">
      <c r="A6762">
        <v>8663</v>
      </c>
      <c r="B6762" t="s">
        <v>6971</v>
      </c>
      <c r="C6762" t="str">
        <f>"460028200004160035"</f>
        <v>460028200004160035</v>
      </c>
      <c r="L6762">
        <v>8663</v>
      </c>
      <c r="M6762" t="s">
        <v>6971</v>
      </c>
      <c r="O6762" t="str">
        <f>"460028200004160035"</f>
        <v>460028200004160035</v>
      </c>
    </row>
    <row r="6763" customFormat="1" spans="1:15">
      <c r="A6763">
        <v>8664</v>
      </c>
      <c r="B6763" t="s">
        <v>6972</v>
      </c>
      <c r="C6763" t="str">
        <f>"46000319980322002X"</f>
        <v>46000319980322002X</v>
      </c>
      <c r="L6763">
        <v>8664</v>
      </c>
      <c r="M6763" t="s">
        <v>6972</v>
      </c>
      <c r="O6763" t="str">
        <f>"46000319980322002X"</f>
        <v>46000319980322002X</v>
      </c>
    </row>
    <row r="6764" customFormat="1" spans="1:15">
      <c r="A6764">
        <v>8666</v>
      </c>
      <c r="B6764" t="s">
        <v>187</v>
      </c>
      <c r="C6764" t="str">
        <f>"460002199809186225"</f>
        <v>460002199809186225</v>
      </c>
      <c r="L6764">
        <v>8666</v>
      </c>
      <c r="M6764" t="s">
        <v>187</v>
      </c>
      <c r="O6764" t="str">
        <f>"460002199809186225"</f>
        <v>460002199809186225</v>
      </c>
    </row>
    <row r="6765" customFormat="1" spans="1:15">
      <c r="A6765">
        <v>8668</v>
      </c>
      <c r="B6765" t="s">
        <v>6973</v>
      </c>
      <c r="C6765" t="str">
        <f>"460028200101206023"</f>
        <v>460028200101206023</v>
      </c>
      <c r="D6765" t="str">
        <f>"248030104806"</f>
        <v>248030104806</v>
      </c>
      <c r="L6765">
        <v>8668</v>
      </c>
      <c r="M6765" t="s">
        <v>6973</v>
      </c>
      <c r="N6765" t="str">
        <f>"248030104806"</f>
        <v>248030104806</v>
      </c>
      <c r="O6765" t="str">
        <f>"460028200101206023"</f>
        <v>460028200101206023</v>
      </c>
    </row>
    <row r="6766" customFormat="1" spans="1:15">
      <c r="A6766">
        <v>8670</v>
      </c>
      <c r="B6766" t="s">
        <v>6974</v>
      </c>
      <c r="C6766" t="str">
        <f>"460026199110300945"</f>
        <v>460026199110300945</v>
      </c>
      <c r="D6766" t="str">
        <f>"248030301608"</f>
        <v>248030301608</v>
      </c>
      <c r="L6766">
        <v>8670</v>
      </c>
      <c r="M6766" t="s">
        <v>6974</v>
      </c>
      <c r="N6766" t="str">
        <f>"248030301608"</f>
        <v>248030301608</v>
      </c>
      <c r="O6766" t="str">
        <f>"460026199110300945"</f>
        <v>460026199110300945</v>
      </c>
    </row>
    <row r="6767" customFormat="1" spans="1:15">
      <c r="A6767">
        <v>8672</v>
      </c>
      <c r="B6767" t="s">
        <v>4353</v>
      </c>
      <c r="C6767" t="str">
        <f>"460006200109052729"</f>
        <v>460006200109052729</v>
      </c>
      <c r="L6767">
        <v>8672</v>
      </c>
      <c r="M6767" t="s">
        <v>4353</v>
      </c>
      <c r="O6767" t="str">
        <f>"460006200109052729"</f>
        <v>460006200109052729</v>
      </c>
    </row>
    <row r="6768" customFormat="1" spans="1:15">
      <c r="A6768">
        <v>8673</v>
      </c>
      <c r="B6768" t="s">
        <v>6975</v>
      </c>
      <c r="C6768" t="str">
        <f>"460300200211110022"</f>
        <v>460300200211110022</v>
      </c>
      <c r="L6768">
        <v>8673</v>
      </c>
      <c r="M6768" t="s">
        <v>6975</v>
      </c>
      <c r="O6768" t="str">
        <f>"460300200211110022"</f>
        <v>460300200211110022</v>
      </c>
    </row>
    <row r="6769" customFormat="1" spans="1:15">
      <c r="A6769">
        <v>8674</v>
      </c>
      <c r="B6769" t="s">
        <v>6976</v>
      </c>
      <c r="C6769" t="str">
        <f>"460103199806180639"</f>
        <v>460103199806180639</v>
      </c>
      <c r="L6769">
        <v>8674</v>
      </c>
      <c r="M6769" t="s">
        <v>6976</v>
      </c>
      <c r="O6769" t="str">
        <f>"460103199806180639"</f>
        <v>460103199806180639</v>
      </c>
    </row>
    <row r="6770" customFormat="1" spans="1:15">
      <c r="A6770">
        <v>8675</v>
      </c>
      <c r="B6770" t="s">
        <v>6977</v>
      </c>
      <c r="C6770" t="str">
        <f>"46000119980113052X"</f>
        <v>46000119980113052X</v>
      </c>
      <c r="D6770" t="str">
        <f>"248030501830"</f>
        <v>248030501830</v>
      </c>
      <c r="L6770">
        <v>8675</v>
      </c>
      <c r="M6770" t="s">
        <v>6977</v>
      </c>
      <c r="N6770" t="str">
        <f>"248030501830"</f>
        <v>248030501830</v>
      </c>
      <c r="O6770" t="str">
        <f>"46000119980113052X"</f>
        <v>46000119980113052X</v>
      </c>
    </row>
    <row r="6771" customFormat="1" spans="1:15">
      <c r="A6771">
        <v>8676</v>
      </c>
      <c r="B6771" t="s">
        <v>6978</v>
      </c>
      <c r="C6771" t="str">
        <f>"460028199210140881"</f>
        <v>460028199210140881</v>
      </c>
      <c r="D6771" t="str">
        <f>"248030502402"</f>
        <v>248030502402</v>
      </c>
      <c r="L6771">
        <v>8676</v>
      </c>
      <c r="M6771" t="s">
        <v>6978</v>
      </c>
      <c r="N6771" t="str">
        <f>"248030502402"</f>
        <v>248030502402</v>
      </c>
      <c r="O6771" t="str">
        <f>"460028199210140881"</f>
        <v>460028199210140881</v>
      </c>
    </row>
    <row r="6772" customFormat="1" spans="1:15">
      <c r="A6772">
        <v>8678</v>
      </c>
      <c r="B6772" t="s">
        <v>6979</v>
      </c>
      <c r="C6772" t="str">
        <f>"460003200011034638"</f>
        <v>460003200011034638</v>
      </c>
      <c r="D6772" t="str">
        <f>"248030104714"</f>
        <v>248030104714</v>
      </c>
      <c r="L6772">
        <v>8678</v>
      </c>
      <c r="M6772" t="s">
        <v>6979</v>
      </c>
      <c r="N6772" t="str">
        <f>"248030104714"</f>
        <v>248030104714</v>
      </c>
      <c r="O6772" t="str">
        <f>"460003200011034638"</f>
        <v>460003200011034638</v>
      </c>
    </row>
    <row r="6773" customFormat="1" spans="1:15">
      <c r="A6773">
        <v>8679</v>
      </c>
      <c r="B6773" t="s">
        <v>6980</v>
      </c>
      <c r="C6773" t="str">
        <f>"460300199703310025"</f>
        <v>460300199703310025</v>
      </c>
      <c r="D6773" t="str">
        <f>"248030500614"</f>
        <v>248030500614</v>
      </c>
      <c r="L6773">
        <v>8679</v>
      </c>
      <c r="M6773" t="s">
        <v>6980</v>
      </c>
      <c r="N6773" t="str">
        <f>"248030500614"</f>
        <v>248030500614</v>
      </c>
      <c r="O6773" t="str">
        <f>"460300199703310025"</f>
        <v>460300199703310025</v>
      </c>
    </row>
    <row r="6774" customFormat="1" spans="1:15">
      <c r="A6774">
        <v>8680</v>
      </c>
      <c r="B6774" t="s">
        <v>989</v>
      </c>
      <c r="C6774" t="str">
        <f>"612429199810050300"</f>
        <v>612429199810050300</v>
      </c>
      <c r="L6774">
        <v>8680</v>
      </c>
      <c r="M6774" t="s">
        <v>989</v>
      </c>
      <c r="O6774" t="str">
        <f>"612429199810050300"</f>
        <v>612429199810050300</v>
      </c>
    </row>
    <row r="6775" customFormat="1" spans="1:15">
      <c r="A6775">
        <v>8681</v>
      </c>
      <c r="B6775" t="s">
        <v>6981</v>
      </c>
      <c r="C6775" t="str">
        <f>"460031199310014450"</f>
        <v>460031199310014450</v>
      </c>
      <c r="L6775">
        <v>8681</v>
      </c>
      <c r="M6775" t="s">
        <v>6981</v>
      </c>
      <c r="O6775" t="str">
        <f>"460031199310014450"</f>
        <v>460031199310014450</v>
      </c>
    </row>
    <row r="6776" customFormat="1" spans="1:15">
      <c r="A6776">
        <v>8682</v>
      </c>
      <c r="B6776" t="s">
        <v>6982</v>
      </c>
      <c r="C6776" t="str">
        <f>"460028199907097625"</f>
        <v>460028199907097625</v>
      </c>
      <c r="D6776" t="str">
        <f>"248030302523"</f>
        <v>248030302523</v>
      </c>
      <c r="L6776">
        <v>8682</v>
      </c>
      <c r="M6776" t="s">
        <v>6982</v>
      </c>
      <c r="N6776" t="str">
        <f>"248030302523"</f>
        <v>248030302523</v>
      </c>
      <c r="O6776" t="str">
        <f>"460028199907097625"</f>
        <v>460028199907097625</v>
      </c>
    </row>
    <row r="6777" customFormat="1" spans="1:15">
      <c r="A6777">
        <v>8683</v>
      </c>
      <c r="B6777" t="s">
        <v>6983</v>
      </c>
      <c r="C6777" t="str">
        <f>"460003199608062054"</f>
        <v>460003199608062054</v>
      </c>
      <c r="D6777" t="str">
        <f>"248030402407"</f>
        <v>248030402407</v>
      </c>
      <c r="L6777">
        <v>8683</v>
      </c>
      <c r="M6777" t="s">
        <v>6983</v>
      </c>
      <c r="N6777" t="str">
        <f>"248030402407"</f>
        <v>248030402407</v>
      </c>
      <c r="O6777" t="str">
        <f>"460003199608062054"</f>
        <v>460003199608062054</v>
      </c>
    </row>
    <row r="6778" customFormat="1" spans="1:15">
      <c r="A6778">
        <v>8685</v>
      </c>
      <c r="B6778" t="s">
        <v>6984</v>
      </c>
      <c r="C6778" t="str">
        <f>"46002819960514123X"</f>
        <v>46002819960514123X</v>
      </c>
      <c r="D6778" t="str">
        <f>"248030503505"</f>
        <v>248030503505</v>
      </c>
      <c r="L6778">
        <v>8685</v>
      </c>
      <c r="M6778" t="s">
        <v>6984</v>
      </c>
      <c r="N6778" t="str">
        <f>"248030503505"</f>
        <v>248030503505</v>
      </c>
      <c r="O6778" t="str">
        <f>"46002819960514123X"</f>
        <v>46002819960514123X</v>
      </c>
    </row>
    <row r="6779" customFormat="1" spans="1:15">
      <c r="A6779">
        <v>8686</v>
      </c>
      <c r="B6779" t="s">
        <v>6985</v>
      </c>
      <c r="C6779" t="str">
        <f>"460003200204026829"</f>
        <v>460003200204026829</v>
      </c>
      <c r="D6779" t="str">
        <f>"248030501723"</f>
        <v>248030501723</v>
      </c>
      <c r="L6779">
        <v>8686</v>
      </c>
      <c r="M6779" t="s">
        <v>6985</v>
      </c>
      <c r="N6779" t="str">
        <f>"248030501723"</f>
        <v>248030501723</v>
      </c>
      <c r="O6779" t="str">
        <f>"460003200204026829"</f>
        <v>460003200204026829</v>
      </c>
    </row>
    <row r="6780" customFormat="1" spans="1:15">
      <c r="A6780">
        <v>8687</v>
      </c>
      <c r="B6780" t="s">
        <v>6986</v>
      </c>
      <c r="C6780" t="str">
        <f>"460006199801052340"</f>
        <v>460006199801052340</v>
      </c>
      <c r="D6780" t="str">
        <f>"248030301505"</f>
        <v>248030301505</v>
      </c>
      <c r="L6780">
        <v>8687</v>
      </c>
      <c r="M6780" t="s">
        <v>6986</v>
      </c>
      <c r="N6780" t="str">
        <f>"248030301505"</f>
        <v>248030301505</v>
      </c>
      <c r="O6780" t="str">
        <f>"460006199801052340"</f>
        <v>460006199801052340</v>
      </c>
    </row>
    <row r="6781" customFormat="1" spans="1:15">
      <c r="A6781">
        <v>8688</v>
      </c>
      <c r="B6781" t="s">
        <v>6987</v>
      </c>
      <c r="C6781" t="str">
        <f>"460002200007186018"</f>
        <v>460002200007186018</v>
      </c>
      <c r="D6781" t="str">
        <f>"248030200809"</f>
        <v>248030200809</v>
      </c>
      <c r="L6781">
        <v>8688</v>
      </c>
      <c r="M6781" t="s">
        <v>6987</v>
      </c>
      <c r="N6781" t="str">
        <f>"248030200809"</f>
        <v>248030200809</v>
      </c>
      <c r="O6781" t="str">
        <f>"460002200007186018"</f>
        <v>460002200007186018</v>
      </c>
    </row>
    <row r="6782" customFormat="1" spans="1:15">
      <c r="A6782">
        <v>8689</v>
      </c>
      <c r="B6782" t="s">
        <v>6988</v>
      </c>
      <c r="C6782" t="str">
        <f>"460006199305082727"</f>
        <v>460006199305082727</v>
      </c>
      <c r="L6782">
        <v>8689</v>
      </c>
      <c r="M6782" t="s">
        <v>6988</v>
      </c>
      <c r="O6782" t="str">
        <f>"460006199305082727"</f>
        <v>460006199305082727</v>
      </c>
    </row>
    <row r="6783" customFormat="1" spans="1:15">
      <c r="A6783">
        <v>8690</v>
      </c>
      <c r="B6783" t="s">
        <v>6989</v>
      </c>
      <c r="C6783" t="str">
        <f>"460200200005303602"</f>
        <v>460200200005303602</v>
      </c>
      <c r="D6783" t="str">
        <f>"248030302503"</f>
        <v>248030302503</v>
      </c>
      <c r="L6783">
        <v>8690</v>
      </c>
      <c r="M6783" t="s">
        <v>6989</v>
      </c>
      <c r="N6783" t="str">
        <f>"248030302503"</f>
        <v>248030302503</v>
      </c>
      <c r="O6783" t="str">
        <f>"460200200005303602"</f>
        <v>460200200005303602</v>
      </c>
    </row>
    <row r="6784" customFormat="1" spans="1:15">
      <c r="A6784">
        <v>8691</v>
      </c>
      <c r="B6784" t="s">
        <v>6990</v>
      </c>
      <c r="C6784" t="str">
        <f>"460033199510193214"</f>
        <v>460033199510193214</v>
      </c>
      <c r="D6784" t="str">
        <f>"248030200828"</f>
        <v>248030200828</v>
      </c>
      <c r="L6784">
        <v>8691</v>
      </c>
      <c r="M6784" t="s">
        <v>6990</v>
      </c>
      <c r="N6784" t="str">
        <f>"248030200828"</f>
        <v>248030200828</v>
      </c>
      <c r="O6784" t="str">
        <f>"460033199510193214"</f>
        <v>460033199510193214</v>
      </c>
    </row>
    <row r="6785" customFormat="1" spans="1:15">
      <c r="A6785">
        <v>8692</v>
      </c>
      <c r="B6785" t="s">
        <v>6991</v>
      </c>
      <c r="C6785" t="str">
        <f>"460028199501030041"</f>
        <v>460028199501030041</v>
      </c>
      <c r="D6785" t="str">
        <f>"248030501509"</f>
        <v>248030501509</v>
      </c>
      <c r="L6785">
        <v>8692</v>
      </c>
      <c r="M6785" t="s">
        <v>6991</v>
      </c>
      <c r="N6785" t="str">
        <f>"248030501509"</f>
        <v>248030501509</v>
      </c>
      <c r="O6785" t="str">
        <f>"460028199501030041"</f>
        <v>460028199501030041</v>
      </c>
    </row>
    <row r="6786" customFormat="1" spans="1:15">
      <c r="A6786">
        <v>8693</v>
      </c>
      <c r="B6786" t="s">
        <v>6992</v>
      </c>
      <c r="C6786" t="str">
        <f>"460006200212150220"</f>
        <v>460006200212150220</v>
      </c>
      <c r="L6786">
        <v>8693</v>
      </c>
      <c r="M6786" t="s">
        <v>6992</v>
      </c>
      <c r="O6786" t="str">
        <f>"460006200212150220"</f>
        <v>460006200212150220</v>
      </c>
    </row>
    <row r="6787" customFormat="1" spans="1:15">
      <c r="A6787">
        <v>8697</v>
      </c>
      <c r="B6787" t="s">
        <v>6993</v>
      </c>
      <c r="C6787" t="str">
        <f>"230604198802020220"</f>
        <v>230604198802020220</v>
      </c>
      <c r="L6787">
        <v>8697</v>
      </c>
      <c r="M6787" t="s">
        <v>6993</v>
      </c>
      <c r="O6787" t="str">
        <f>"230604198802020220"</f>
        <v>230604198802020220</v>
      </c>
    </row>
    <row r="6788" customFormat="1" spans="1:15">
      <c r="A6788">
        <v>8698</v>
      </c>
      <c r="B6788" t="s">
        <v>6994</v>
      </c>
      <c r="C6788" t="str">
        <f>"460005200110242128"</f>
        <v>460005200110242128</v>
      </c>
      <c r="D6788" t="str">
        <f>"248030300913"</f>
        <v>248030300913</v>
      </c>
      <c r="L6788">
        <v>8698</v>
      </c>
      <c r="M6788" t="s">
        <v>6994</v>
      </c>
      <c r="N6788" t="str">
        <f>"248030300913"</f>
        <v>248030300913</v>
      </c>
      <c r="O6788" t="str">
        <f>"460005200110242128"</f>
        <v>460005200110242128</v>
      </c>
    </row>
    <row r="6789" customFormat="1" spans="1:15">
      <c r="A6789">
        <v>8700</v>
      </c>
      <c r="B6789" t="s">
        <v>6995</v>
      </c>
      <c r="C6789" t="str">
        <f>"460035199510103234"</f>
        <v>460035199510103234</v>
      </c>
      <c r="L6789">
        <v>8700</v>
      </c>
      <c r="M6789" t="s">
        <v>6995</v>
      </c>
      <c r="O6789" t="str">
        <f>"460035199510103234"</f>
        <v>460035199510103234</v>
      </c>
    </row>
    <row r="6790" customFormat="1" spans="1:15">
      <c r="A6790">
        <v>8701</v>
      </c>
      <c r="B6790" t="s">
        <v>6996</v>
      </c>
      <c r="C6790" t="str">
        <f>"130402198908212127"</f>
        <v>130402198908212127</v>
      </c>
      <c r="D6790" t="str">
        <f>"248030201921"</f>
        <v>248030201921</v>
      </c>
      <c r="L6790">
        <v>8701</v>
      </c>
      <c r="M6790" t="s">
        <v>6996</v>
      </c>
      <c r="N6790" t="str">
        <f>"248030201921"</f>
        <v>248030201921</v>
      </c>
      <c r="O6790" t="str">
        <f>"130402198908212127"</f>
        <v>130402198908212127</v>
      </c>
    </row>
    <row r="6791" customFormat="1" spans="1:15">
      <c r="A6791">
        <v>8702</v>
      </c>
      <c r="B6791" t="s">
        <v>6997</v>
      </c>
      <c r="C6791" t="str">
        <f>"460200199703250522"</f>
        <v>460200199703250522</v>
      </c>
      <c r="L6791">
        <v>8702</v>
      </c>
      <c r="M6791" t="s">
        <v>6997</v>
      </c>
      <c r="O6791" t="str">
        <f>"460200199703250522"</f>
        <v>460200199703250522</v>
      </c>
    </row>
    <row r="6792" customFormat="1" spans="1:15">
      <c r="A6792">
        <v>8705</v>
      </c>
      <c r="B6792" t="s">
        <v>6998</v>
      </c>
      <c r="C6792" t="str">
        <f>"469024200102280420"</f>
        <v>469024200102280420</v>
      </c>
      <c r="D6792" t="str">
        <f>"248030403323"</f>
        <v>248030403323</v>
      </c>
      <c r="L6792">
        <v>8705</v>
      </c>
      <c r="M6792" t="s">
        <v>6998</v>
      </c>
      <c r="N6792" t="str">
        <f>"248030403323"</f>
        <v>248030403323</v>
      </c>
      <c r="O6792" t="str">
        <f>"469024200102280420"</f>
        <v>469024200102280420</v>
      </c>
    </row>
    <row r="6793" customFormat="1" spans="1:15">
      <c r="A6793">
        <v>8706</v>
      </c>
      <c r="B6793" t="s">
        <v>6999</v>
      </c>
      <c r="C6793" t="str">
        <f>"452701198312110716"</f>
        <v>452701198312110716</v>
      </c>
      <c r="L6793">
        <v>8706</v>
      </c>
      <c r="M6793" t="s">
        <v>6999</v>
      </c>
      <c r="O6793" t="str">
        <f>"452701198312110716"</f>
        <v>452701198312110716</v>
      </c>
    </row>
    <row r="6794" customFormat="1" spans="1:15">
      <c r="A6794">
        <v>8707</v>
      </c>
      <c r="B6794" t="s">
        <v>7000</v>
      </c>
      <c r="C6794" t="str">
        <f>"460022199310155126"</f>
        <v>460022199310155126</v>
      </c>
      <c r="D6794" t="str">
        <f>"248030202625"</f>
        <v>248030202625</v>
      </c>
      <c r="L6794">
        <v>8707</v>
      </c>
      <c r="M6794" t="s">
        <v>7000</v>
      </c>
      <c r="N6794" t="str">
        <f>"248030202625"</f>
        <v>248030202625</v>
      </c>
      <c r="O6794" t="str">
        <f>"460022199310155126"</f>
        <v>460022199310155126</v>
      </c>
    </row>
    <row r="6795" customFormat="1" spans="1:15">
      <c r="A6795">
        <v>8708</v>
      </c>
      <c r="B6795" t="s">
        <v>7001</v>
      </c>
      <c r="C6795" t="str">
        <f>"530423200004270312"</f>
        <v>530423200004270312</v>
      </c>
      <c r="D6795" t="str">
        <f>"248030402610"</f>
        <v>248030402610</v>
      </c>
      <c r="L6795">
        <v>8708</v>
      </c>
      <c r="M6795" t="s">
        <v>7001</v>
      </c>
      <c r="N6795" t="str">
        <f>"248030402610"</f>
        <v>248030402610</v>
      </c>
      <c r="O6795" t="str">
        <f>"530423200004270312"</f>
        <v>530423200004270312</v>
      </c>
    </row>
    <row r="6796" customFormat="1" spans="1:15">
      <c r="A6796">
        <v>8709</v>
      </c>
      <c r="B6796" t="s">
        <v>7002</v>
      </c>
      <c r="C6796" t="str">
        <f>"460004199304146423"</f>
        <v>460004199304146423</v>
      </c>
      <c r="D6796" t="str">
        <f>"248030101904"</f>
        <v>248030101904</v>
      </c>
      <c r="L6796">
        <v>8709</v>
      </c>
      <c r="M6796" t="s">
        <v>7002</v>
      </c>
      <c r="N6796" t="str">
        <f>"248030101904"</f>
        <v>248030101904</v>
      </c>
      <c r="O6796" t="str">
        <f>"460004199304146423"</f>
        <v>460004199304146423</v>
      </c>
    </row>
    <row r="6797" customFormat="1" spans="1:15">
      <c r="A6797">
        <v>8710</v>
      </c>
      <c r="B6797" t="s">
        <v>7003</v>
      </c>
      <c r="C6797" t="str">
        <f>"510821199511081129"</f>
        <v>510821199511081129</v>
      </c>
      <c r="D6797" t="str">
        <f>"248030203324"</f>
        <v>248030203324</v>
      </c>
      <c r="L6797">
        <v>8710</v>
      </c>
      <c r="M6797" t="s">
        <v>7003</v>
      </c>
      <c r="N6797" t="str">
        <f>"248030203324"</f>
        <v>248030203324</v>
      </c>
      <c r="O6797" t="str">
        <f>"510821199511081129"</f>
        <v>510821199511081129</v>
      </c>
    </row>
    <row r="6798" customFormat="1" spans="1:15">
      <c r="A6798">
        <v>8711</v>
      </c>
      <c r="B6798" t="s">
        <v>7004</v>
      </c>
      <c r="C6798" t="str">
        <f>"460003199209134225"</f>
        <v>460003199209134225</v>
      </c>
      <c r="L6798">
        <v>8711</v>
      </c>
      <c r="M6798" t="s">
        <v>7004</v>
      </c>
      <c r="O6798" t="str">
        <f>"460003199209134225"</f>
        <v>460003199209134225</v>
      </c>
    </row>
    <row r="6799" customFormat="1" spans="1:15">
      <c r="A6799">
        <v>8712</v>
      </c>
      <c r="B6799" t="s">
        <v>7005</v>
      </c>
      <c r="C6799" t="str">
        <f>"460200199612143828"</f>
        <v>460200199612143828</v>
      </c>
      <c r="D6799" t="str">
        <f>"248030200629"</f>
        <v>248030200629</v>
      </c>
      <c r="L6799">
        <v>8712</v>
      </c>
      <c r="M6799" t="s">
        <v>7005</v>
      </c>
      <c r="N6799" t="str">
        <f>"248030200629"</f>
        <v>248030200629</v>
      </c>
      <c r="O6799" t="str">
        <f>"460200199612143828"</f>
        <v>460200199612143828</v>
      </c>
    </row>
    <row r="6800" customFormat="1" spans="1:15">
      <c r="A6800">
        <v>8713</v>
      </c>
      <c r="B6800" t="s">
        <v>7006</v>
      </c>
      <c r="C6800" t="str">
        <f>"230404198904190123"</f>
        <v>230404198904190123</v>
      </c>
      <c r="D6800" t="str">
        <f>"248030501201"</f>
        <v>248030501201</v>
      </c>
      <c r="L6800">
        <v>8713</v>
      </c>
      <c r="M6800" t="s">
        <v>7006</v>
      </c>
      <c r="N6800" t="str">
        <f>"248030501201"</f>
        <v>248030501201</v>
      </c>
      <c r="O6800" t="str">
        <f>"230404198904190123"</f>
        <v>230404198904190123</v>
      </c>
    </row>
    <row r="6801" customFormat="1" spans="1:15">
      <c r="A6801">
        <v>8714</v>
      </c>
      <c r="B6801" t="s">
        <v>7007</v>
      </c>
      <c r="C6801" t="str">
        <f>"460004198905163814"</f>
        <v>460004198905163814</v>
      </c>
      <c r="D6801" t="str">
        <f>"248030202307"</f>
        <v>248030202307</v>
      </c>
      <c r="L6801">
        <v>8714</v>
      </c>
      <c r="M6801" t="s">
        <v>7007</v>
      </c>
      <c r="N6801" t="str">
        <f>"248030202307"</f>
        <v>248030202307</v>
      </c>
      <c r="O6801" t="str">
        <f>"460004198905163814"</f>
        <v>460004198905163814</v>
      </c>
    </row>
    <row r="6802" customFormat="1" spans="1:15">
      <c r="A6802">
        <v>8716</v>
      </c>
      <c r="B6802" t="s">
        <v>7008</v>
      </c>
      <c r="C6802" t="str">
        <f>"131026199902033229"</f>
        <v>131026199902033229</v>
      </c>
      <c r="D6802" t="str">
        <f>"248030300421"</f>
        <v>248030300421</v>
      </c>
      <c r="L6802">
        <v>8716</v>
      </c>
      <c r="M6802" t="s">
        <v>7008</v>
      </c>
      <c r="N6802" t="str">
        <f>"248030300421"</f>
        <v>248030300421</v>
      </c>
      <c r="O6802" t="str">
        <f>"131026199902033229"</f>
        <v>131026199902033229</v>
      </c>
    </row>
    <row r="6803" customFormat="1" spans="1:15">
      <c r="A6803">
        <v>8717</v>
      </c>
      <c r="B6803" t="s">
        <v>7009</v>
      </c>
      <c r="C6803" t="str">
        <f>"460034199810155822"</f>
        <v>460034199810155822</v>
      </c>
      <c r="L6803">
        <v>8717</v>
      </c>
      <c r="M6803" t="s">
        <v>7009</v>
      </c>
      <c r="O6803" t="str">
        <f>"460034199810155822"</f>
        <v>460034199810155822</v>
      </c>
    </row>
    <row r="6804" customFormat="1" spans="1:15">
      <c r="A6804">
        <v>8718</v>
      </c>
      <c r="B6804" t="s">
        <v>7010</v>
      </c>
      <c r="C6804" t="str">
        <f>"460022199007301223"</f>
        <v>460022199007301223</v>
      </c>
      <c r="D6804" t="str">
        <f>"248030403816"</f>
        <v>248030403816</v>
      </c>
      <c r="L6804">
        <v>8718</v>
      </c>
      <c r="M6804" t="s">
        <v>7010</v>
      </c>
      <c r="N6804" t="str">
        <f>"248030403816"</f>
        <v>248030403816</v>
      </c>
      <c r="O6804" t="str">
        <f>"460022199007301223"</f>
        <v>460022199007301223</v>
      </c>
    </row>
    <row r="6805" customFormat="1" spans="1:15">
      <c r="A6805">
        <v>8719</v>
      </c>
      <c r="B6805" t="s">
        <v>7011</v>
      </c>
      <c r="C6805" t="str">
        <f>"46002819930816606X"</f>
        <v>46002819930816606X</v>
      </c>
      <c r="L6805">
        <v>8719</v>
      </c>
      <c r="M6805" t="s">
        <v>7011</v>
      </c>
      <c r="O6805" t="str">
        <f>"46002819930816606X"</f>
        <v>46002819930816606X</v>
      </c>
    </row>
    <row r="6806" customFormat="1" spans="1:15">
      <c r="A6806">
        <v>8720</v>
      </c>
      <c r="B6806" t="s">
        <v>7012</v>
      </c>
      <c r="C6806" t="str">
        <f>"460003199401231420"</f>
        <v>460003199401231420</v>
      </c>
      <c r="L6806">
        <v>8720</v>
      </c>
      <c r="M6806" t="s">
        <v>7012</v>
      </c>
      <c r="O6806" t="str">
        <f>"460003199401231420"</f>
        <v>460003199401231420</v>
      </c>
    </row>
    <row r="6807" customFormat="1" spans="1:15">
      <c r="A6807">
        <v>8722</v>
      </c>
      <c r="B6807" t="s">
        <v>7013</v>
      </c>
      <c r="C6807" t="str">
        <f>"460035199508132319"</f>
        <v>460035199508132319</v>
      </c>
      <c r="L6807">
        <v>8722</v>
      </c>
      <c r="M6807" t="s">
        <v>7013</v>
      </c>
      <c r="O6807" t="str">
        <f>"460035199508132319"</f>
        <v>460035199508132319</v>
      </c>
    </row>
    <row r="6808" customFormat="1" spans="1:15">
      <c r="A6808">
        <v>8724</v>
      </c>
      <c r="B6808" t="s">
        <v>7014</v>
      </c>
      <c r="C6808" t="str">
        <f>"460006199309261634"</f>
        <v>460006199309261634</v>
      </c>
      <c r="L6808">
        <v>8724</v>
      </c>
      <c r="M6808" t="s">
        <v>7014</v>
      </c>
      <c r="O6808" t="str">
        <f>"460006199309261634"</f>
        <v>460006199309261634</v>
      </c>
    </row>
    <row r="6809" customFormat="1" spans="1:15">
      <c r="A6809">
        <v>8726</v>
      </c>
      <c r="B6809" t="s">
        <v>7015</v>
      </c>
      <c r="C6809" t="str">
        <f>"460030199209303323"</f>
        <v>460030199209303323</v>
      </c>
      <c r="D6809" t="str">
        <f>"248030404020"</f>
        <v>248030404020</v>
      </c>
      <c r="L6809">
        <v>8726</v>
      </c>
      <c r="M6809" t="s">
        <v>7015</v>
      </c>
      <c r="N6809" t="str">
        <f>"248030404020"</f>
        <v>248030404020</v>
      </c>
      <c r="O6809" t="str">
        <f>"460030199209303323"</f>
        <v>460030199209303323</v>
      </c>
    </row>
    <row r="6810" customFormat="1" spans="1:15">
      <c r="A6810">
        <v>8727</v>
      </c>
      <c r="B6810" t="s">
        <v>7016</v>
      </c>
      <c r="C6810" t="str">
        <f>"460025199603272122"</f>
        <v>460025199603272122</v>
      </c>
      <c r="L6810">
        <v>8727</v>
      </c>
      <c r="M6810" t="s">
        <v>7016</v>
      </c>
      <c r="O6810" t="str">
        <f>"460025199603272122"</f>
        <v>460025199603272122</v>
      </c>
    </row>
    <row r="6811" customFormat="1" spans="1:15">
      <c r="A6811">
        <v>8728</v>
      </c>
      <c r="B6811" t="s">
        <v>7017</v>
      </c>
      <c r="C6811" t="str">
        <f>"460104200108261820"</f>
        <v>460104200108261820</v>
      </c>
      <c r="D6811" t="str">
        <f>"248030403709"</f>
        <v>248030403709</v>
      </c>
      <c r="L6811">
        <v>8728</v>
      </c>
      <c r="M6811" t="s">
        <v>7017</v>
      </c>
      <c r="N6811" t="str">
        <f>"248030403709"</f>
        <v>248030403709</v>
      </c>
      <c r="O6811" t="str">
        <f>"460104200108261820"</f>
        <v>460104200108261820</v>
      </c>
    </row>
    <row r="6812" customFormat="1" spans="1:15">
      <c r="A6812">
        <v>8729</v>
      </c>
      <c r="B6812" t="s">
        <v>7018</v>
      </c>
      <c r="C6812" t="str">
        <f>"460003199509090420"</f>
        <v>460003199509090420</v>
      </c>
      <c r="L6812">
        <v>8729</v>
      </c>
      <c r="M6812" t="s">
        <v>7018</v>
      </c>
      <c r="O6812" t="str">
        <f>"460003199509090420"</f>
        <v>460003199509090420</v>
      </c>
    </row>
    <row r="6813" customFormat="1" spans="1:15">
      <c r="A6813">
        <v>8730</v>
      </c>
      <c r="B6813" t="s">
        <v>7019</v>
      </c>
      <c r="C6813" t="str">
        <f>"522227199802146833"</f>
        <v>522227199802146833</v>
      </c>
      <c r="D6813" t="str">
        <f>"248030401501"</f>
        <v>248030401501</v>
      </c>
      <c r="L6813">
        <v>8730</v>
      </c>
      <c r="M6813" t="s">
        <v>7019</v>
      </c>
      <c r="N6813" t="str">
        <f>"248030401501"</f>
        <v>248030401501</v>
      </c>
      <c r="O6813" t="str">
        <f>"522227199802146833"</f>
        <v>522227199802146833</v>
      </c>
    </row>
    <row r="6814" customFormat="1" spans="1:15">
      <c r="A6814">
        <v>8732</v>
      </c>
      <c r="B6814" t="s">
        <v>7020</v>
      </c>
      <c r="C6814" t="str">
        <f>"140221198501264822"</f>
        <v>140221198501264822</v>
      </c>
      <c r="L6814">
        <v>8732</v>
      </c>
      <c r="M6814" t="s">
        <v>7020</v>
      </c>
      <c r="O6814" t="str">
        <f>"140221198501264822"</f>
        <v>140221198501264822</v>
      </c>
    </row>
    <row r="6815" customFormat="1" spans="1:15">
      <c r="A6815">
        <v>8734</v>
      </c>
      <c r="B6815" t="s">
        <v>7021</v>
      </c>
      <c r="C6815" t="str">
        <f>"460027199805175921"</f>
        <v>460027199805175921</v>
      </c>
      <c r="D6815" t="str">
        <f>"248030402526"</f>
        <v>248030402526</v>
      </c>
      <c r="L6815">
        <v>8734</v>
      </c>
      <c r="M6815" t="s">
        <v>7021</v>
      </c>
      <c r="N6815" t="str">
        <f>"248030402526"</f>
        <v>248030402526</v>
      </c>
      <c r="O6815" t="str">
        <f>"460027199805175921"</f>
        <v>460027199805175921</v>
      </c>
    </row>
    <row r="6816" customFormat="1" spans="1:15">
      <c r="A6816">
        <v>8735</v>
      </c>
      <c r="B6816" t="s">
        <v>7022</v>
      </c>
      <c r="C6816" t="str">
        <f>"460103199710070021"</f>
        <v>460103199710070021</v>
      </c>
      <c r="D6816" t="str">
        <f>"248030403107"</f>
        <v>248030403107</v>
      </c>
      <c r="L6816">
        <v>8735</v>
      </c>
      <c r="M6816" t="s">
        <v>7022</v>
      </c>
      <c r="N6816" t="str">
        <f>"248030403107"</f>
        <v>248030403107</v>
      </c>
      <c r="O6816" t="str">
        <f>"460103199710070021"</f>
        <v>460103199710070021</v>
      </c>
    </row>
    <row r="6817" customFormat="1" spans="1:15">
      <c r="A6817">
        <v>8737</v>
      </c>
      <c r="B6817" t="s">
        <v>7023</v>
      </c>
      <c r="C6817" t="str">
        <f>"410603199412310523"</f>
        <v>410603199412310523</v>
      </c>
      <c r="L6817">
        <v>8737</v>
      </c>
      <c r="M6817" t="s">
        <v>7023</v>
      </c>
      <c r="O6817" t="str">
        <f>"410603199412310523"</f>
        <v>410603199412310523</v>
      </c>
    </row>
    <row r="6818" customFormat="1" spans="1:15">
      <c r="A6818">
        <v>8738</v>
      </c>
      <c r="B6818" t="s">
        <v>7024</v>
      </c>
      <c r="C6818" t="str">
        <f>"469007200001086200"</f>
        <v>469007200001086200</v>
      </c>
      <c r="D6818" t="str">
        <f>"248030100129"</f>
        <v>248030100129</v>
      </c>
      <c r="L6818">
        <v>8738</v>
      </c>
      <c r="M6818" t="s">
        <v>7024</v>
      </c>
      <c r="N6818" t="str">
        <f>"248030100129"</f>
        <v>248030100129</v>
      </c>
      <c r="O6818" t="str">
        <f>"469007200001086200"</f>
        <v>469007200001086200</v>
      </c>
    </row>
    <row r="6819" customFormat="1" spans="1:15">
      <c r="A6819">
        <v>8739</v>
      </c>
      <c r="B6819" t="s">
        <v>7025</v>
      </c>
      <c r="C6819" t="str">
        <f>"130184199711164929"</f>
        <v>130184199711164929</v>
      </c>
      <c r="D6819" t="str">
        <f>"248030401104"</f>
        <v>248030401104</v>
      </c>
      <c r="L6819">
        <v>8739</v>
      </c>
      <c r="M6819" t="s">
        <v>7025</v>
      </c>
      <c r="N6819" t="str">
        <f>"248030401104"</f>
        <v>248030401104</v>
      </c>
      <c r="O6819" t="str">
        <f>"130184199711164929"</f>
        <v>130184199711164929</v>
      </c>
    </row>
    <row r="6820" customFormat="1" spans="1:15">
      <c r="A6820">
        <v>8741</v>
      </c>
      <c r="B6820" t="s">
        <v>7026</v>
      </c>
      <c r="C6820" t="str">
        <f>"460033199706180052"</f>
        <v>460033199706180052</v>
      </c>
      <c r="L6820">
        <v>8741</v>
      </c>
      <c r="M6820" t="s">
        <v>7026</v>
      </c>
      <c r="O6820" t="str">
        <f>"460033199706180052"</f>
        <v>460033199706180052</v>
      </c>
    </row>
    <row r="6821" customFormat="1" spans="1:15">
      <c r="A6821">
        <v>8742</v>
      </c>
      <c r="B6821" t="s">
        <v>7027</v>
      </c>
      <c r="C6821" t="str">
        <f>"460103199208090924"</f>
        <v>460103199208090924</v>
      </c>
      <c r="L6821">
        <v>8742</v>
      </c>
      <c r="M6821" t="s">
        <v>7027</v>
      </c>
      <c r="O6821" t="str">
        <f>"460103199208090924"</f>
        <v>460103199208090924</v>
      </c>
    </row>
    <row r="6822" customFormat="1" spans="1:15">
      <c r="A6822">
        <v>8743</v>
      </c>
      <c r="B6822" t="s">
        <v>7028</v>
      </c>
      <c r="C6822" t="str">
        <f>"460007199509275762"</f>
        <v>460007199509275762</v>
      </c>
      <c r="D6822" t="str">
        <f>"248030102515"</f>
        <v>248030102515</v>
      </c>
      <c r="L6822">
        <v>8743</v>
      </c>
      <c r="M6822" t="s">
        <v>7028</v>
      </c>
      <c r="N6822" t="str">
        <f>"248030102515"</f>
        <v>248030102515</v>
      </c>
      <c r="O6822" t="str">
        <f>"460007199509275762"</f>
        <v>460007199509275762</v>
      </c>
    </row>
    <row r="6823" customFormat="1" spans="1:15">
      <c r="A6823">
        <v>8744</v>
      </c>
      <c r="B6823" t="s">
        <v>7029</v>
      </c>
      <c r="C6823" t="str">
        <f>"231083198505034443"</f>
        <v>231083198505034443</v>
      </c>
      <c r="D6823" t="str">
        <f>"248030500420"</f>
        <v>248030500420</v>
      </c>
      <c r="L6823">
        <v>8744</v>
      </c>
      <c r="M6823" t="s">
        <v>7029</v>
      </c>
      <c r="N6823" t="str">
        <f>"248030500420"</f>
        <v>248030500420</v>
      </c>
      <c r="O6823" t="str">
        <f>"231083198505034443"</f>
        <v>231083198505034443</v>
      </c>
    </row>
    <row r="6824" customFormat="1" spans="1:15">
      <c r="A6824">
        <v>8746</v>
      </c>
      <c r="B6824" t="s">
        <v>7030</v>
      </c>
      <c r="C6824" t="str">
        <f>"460006200009060422"</f>
        <v>460006200009060422</v>
      </c>
      <c r="L6824">
        <v>8746</v>
      </c>
      <c r="M6824" t="s">
        <v>7030</v>
      </c>
      <c r="O6824" t="str">
        <f>"460006200009060422"</f>
        <v>460006200009060422</v>
      </c>
    </row>
    <row r="6825" customFormat="1" spans="1:15">
      <c r="A6825">
        <v>8747</v>
      </c>
      <c r="B6825" t="s">
        <v>7031</v>
      </c>
      <c r="C6825" t="str">
        <f>"460028200111076023"</f>
        <v>460028200111076023</v>
      </c>
      <c r="D6825" t="str">
        <f>"248030202923"</f>
        <v>248030202923</v>
      </c>
      <c r="L6825">
        <v>8747</v>
      </c>
      <c r="M6825" t="s">
        <v>7031</v>
      </c>
      <c r="N6825" t="str">
        <f>"248030202923"</f>
        <v>248030202923</v>
      </c>
      <c r="O6825" t="str">
        <f>"460028200111076023"</f>
        <v>460028200111076023</v>
      </c>
    </row>
    <row r="6826" customFormat="1" spans="1:15">
      <c r="A6826">
        <v>8748</v>
      </c>
      <c r="B6826" t="s">
        <v>7032</v>
      </c>
      <c r="C6826" t="str">
        <f>"469003199205182420"</f>
        <v>469003199205182420</v>
      </c>
      <c r="D6826" t="str">
        <f>"248030501911"</f>
        <v>248030501911</v>
      </c>
      <c r="L6826">
        <v>8748</v>
      </c>
      <c r="M6826" t="s">
        <v>7032</v>
      </c>
      <c r="N6826" t="str">
        <f>"248030501911"</f>
        <v>248030501911</v>
      </c>
      <c r="O6826" t="str">
        <f>"469003199205182420"</f>
        <v>469003199205182420</v>
      </c>
    </row>
    <row r="6827" customFormat="1" spans="1:15">
      <c r="A6827">
        <v>8750</v>
      </c>
      <c r="B6827" t="s">
        <v>7033</v>
      </c>
      <c r="C6827" t="str">
        <f>"469027200205087497"</f>
        <v>469027200205087497</v>
      </c>
      <c r="D6827" t="str">
        <f>"248030201721"</f>
        <v>248030201721</v>
      </c>
      <c r="L6827">
        <v>8750</v>
      </c>
      <c r="M6827" t="s">
        <v>7033</v>
      </c>
      <c r="N6827" t="str">
        <f>"248030201721"</f>
        <v>248030201721</v>
      </c>
      <c r="O6827" t="str">
        <f>"469027200205087497"</f>
        <v>469027200205087497</v>
      </c>
    </row>
    <row r="6828" customFormat="1" spans="1:15">
      <c r="A6828">
        <v>8751</v>
      </c>
      <c r="B6828" t="s">
        <v>7034</v>
      </c>
      <c r="C6828" t="str">
        <f>"460033199908250012"</f>
        <v>460033199908250012</v>
      </c>
      <c r="D6828" t="str">
        <f>"248030404102"</f>
        <v>248030404102</v>
      </c>
      <c r="L6828">
        <v>8751</v>
      </c>
      <c r="M6828" t="s">
        <v>7034</v>
      </c>
      <c r="N6828" t="str">
        <f>"248030404102"</f>
        <v>248030404102</v>
      </c>
      <c r="O6828" t="str">
        <f>"460033199908250012"</f>
        <v>460033199908250012</v>
      </c>
    </row>
    <row r="6829" customFormat="1" spans="1:15">
      <c r="A6829">
        <v>8752</v>
      </c>
      <c r="B6829" t="s">
        <v>7035</v>
      </c>
      <c r="C6829" t="str">
        <f>"460001199808080764"</f>
        <v>460001199808080764</v>
      </c>
      <c r="L6829">
        <v>8752</v>
      </c>
      <c r="M6829" t="s">
        <v>7035</v>
      </c>
      <c r="O6829" t="str">
        <f>"460001199808080764"</f>
        <v>460001199808080764</v>
      </c>
    </row>
    <row r="6830" customFormat="1" spans="1:15">
      <c r="A6830">
        <v>8753</v>
      </c>
      <c r="B6830" t="s">
        <v>7036</v>
      </c>
      <c r="C6830" t="str">
        <f>"460034199702105027"</f>
        <v>460034199702105027</v>
      </c>
      <c r="D6830" t="str">
        <f>"248030103023"</f>
        <v>248030103023</v>
      </c>
      <c r="L6830">
        <v>8753</v>
      </c>
      <c r="M6830" t="s">
        <v>7036</v>
      </c>
      <c r="N6830" t="str">
        <f>"248030103023"</f>
        <v>248030103023</v>
      </c>
      <c r="O6830" t="str">
        <f>"460034199702105027"</f>
        <v>460034199702105027</v>
      </c>
    </row>
    <row r="6831" customFormat="1" spans="1:15">
      <c r="A6831">
        <v>8754</v>
      </c>
      <c r="B6831" t="s">
        <v>7037</v>
      </c>
      <c r="C6831" t="str">
        <f>"460026199612115125"</f>
        <v>460026199612115125</v>
      </c>
      <c r="D6831" t="str">
        <f>"248030100405"</f>
        <v>248030100405</v>
      </c>
      <c r="L6831">
        <v>8754</v>
      </c>
      <c r="M6831" t="s">
        <v>7037</v>
      </c>
      <c r="N6831" t="str">
        <f>"248030100405"</f>
        <v>248030100405</v>
      </c>
      <c r="O6831" t="str">
        <f>"460026199612115125"</f>
        <v>460026199612115125</v>
      </c>
    </row>
    <row r="6832" customFormat="1" spans="1:15">
      <c r="A6832">
        <v>8755</v>
      </c>
      <c r="B6832" t="s">
        <v>7038</v>
      </c>
      <c r="C6832" t="str">
        <f>"460033200103097175"</f>
        <v>460033200103097175</v>
      </c>
      <c r="D6832" t="str">
        <f>"248030202103"</f>
        <v>248030202103</v>
      </c>
      <c r="L6832">
        <v>8755</v>
      </c>
      <c r="M6832" t="s">
        <v>7038</v>
      </c>
      <c r="N6832" t="str">
        <f>"248030202103"</f>
        <v>248030202103</v>
      </c>
      <c r="O6832" t="str">
        <f>"460033200103097175"</f>
        <v>460033200103097175</v>
      </c>
    </row>
    <row r="6833" customFormat="1" spans="1:15">
      <c r="A6833">
        <v>8757</v>
      </c>
      <c r="B6833" t="s">
        <v>7039</v>
      </c>
      <c r="C6833" t="str">
        <f>"460005200002270025"</f>
        <v>460005200002270025</v>
      </c>
      <c r="D6833" t="str">
        <f>"248030102326"</f>
        <v>248030102326</v>
      </c>
      <c r="L6833">
        <v>8757</v>
      </c>
      <c r="M6833" t="s">
        <v>7039</v>
      </c>
      <c r="N6833" t="str">
        <f>"248030102326"</f>
        <v>248030102326</v>
      </c>
      <c r="O6833" t="str">
        <f>"460005200002270025"</f>
        <v>460005200002270025</v>
      </c>
    </row>
    <row r="6834" customFormat="1" spans="1:15">
      <c r="A6834">
        <v>8759</v>
      </c>
      <c r="B6834" t="s">
        <v>7040</v>
      </c>
      <c r="C6834" t="str">
        <f>"460002200205133021"</f>
        <v>460002200205133021</v>
      </c>
      <c r="D6834" t="str">
        <f>"248030103113"</f>
        <v>248030103113</v>
      </c>
      <c r="L6834">
        <v>8759</v>
      </c>
      <c r="M6834" t="s">
        <v>7040</v>
      </c>
      <c r="N6834" t="str">
        <f>"248030103113"</f>
        <v>248030103113</v>
      </c>
      <c r="O6834" t="str">
        <f>"460002200205133021"</f>
        <v>460002200205133021</v>
      </c>
    </row>
    <row r="6835" customFormat="1" spans="1:15">
      <c r="A6835">
        <v>8762</v>
      </c>
      <c r="B6835" t="s">
        <v>7041</v>
      </c>
      <c r="C6835" t="str">
        <f>"460002200207062220"</f>
        <v>460002200207062220</v>
      </c>
      <c r="L6835">
        <v>8762</v>
      </c>
      <c r="M6835" t="s">
        <v>7041</v>
      </c>
      <c r="O6835" t="str">
        <f>"460002200207062220"</f>
        <v>460002200207062220</v>
      </c>
    </row>
    <row r="6836" customFormat="1" spans="1:15">
      <c r="A6836">
        <v>8765</v>
      </c>
      <c r="B6836" t="s">
        <v>7042</v>
      </c>
      <c r="C6836" t="str">
        <f>"140525199806031620"</f>
        <v>140525199806031620</v>
      </c>
      <c r="D6836" t="str">
        <f>"248030401119"</f>
        <v>248030401119</v>
      </c>
      <c r="L6836">
        <v>8765</v>
      </c>
      <c r="M6836" t="s">
        <v>7042</v>
      </c>
      <c r="N6836" t="str">
        <f>"248030401119"</f>
        <v>248030401119</v>
      </c>
      <c r="O6836" t="str">
        <f>"140525199806031620"</f>
        <v>140525199806031620</v>
      </c>
    </row>
    <row r="6837" customFormat="1" spans="1:15">
      <c r="A6837">
        <v>8766</v>
      </c>
      <c r="B6837" t="s">
        <v>7043</v>
      </c>
      <c r="C6837" t="str">
        <f>"460103199001100021"</f>
        <v>460103199001100021</v>
      </c>
      <c r="D6837" t="str">
        <f>"248030104717"</f>
        <v>248030104717</v>
      </c>
      <c r="L6837">
        <v>8766</v>
      </c>
      <c r="M6837" t="s">
        <v>7043</v>
      </c>
      <c r="N6837" t="str">
        <f>"248030104717"</f>
        <v>248030104717</v>
      </c>
      <c r="O6837" t="str">
        <f>"460103199001100021"</f>
        <v>460103199001100021</v>
      </c>
    </row>
    <row r="6838" customFormat="1" spans="1:15">
      <c r="A6838">
        <v>8767</v>
      </c>
      <c r="B6838" t="s">
        <v>7044</v>
      </c>
      <c r="C6838" t="str">
        <f>"460027200210262044"</f>
        <v>460027200210262044</v>
      </c>
      <c r="D6838" t="str">
        <f>"248030300526"</f>
        <v>248030300526</v>
      </c>
      <c r="L6838">
        <v>8767</v>
      </c>
      <c r="M6838" t="s">
        <v>7044</v>
      </c>
      <c r="N6838" t="str">
        <f>"248030300526"</f>
        <v>248030300526</v>
      </c>
      <c r="O6838" t="str">
        <f>"460027200210262044"</f>
        <v>460027200210262044</v>
      </c>
    </row>
    <row r="6839" customFormat="1" spans="1:15">
      <c r="A6839">
        <v>8768</v>
      </c>
      <c r="B6839" t="s">
        <v>7045</v>
      </c>
      <c r="C6839" t="str">
        <f>"460200199702094441"</f>
        <v>460200199702094441</v>
      </c>
      <c r="D6839" t="str">
        <f>"248030100801"</f>
        <v>248030100801</v>
      </c>
      <c r="L6839">
        <v>8768</v>
      </c>
      <c r="M6839" t="s">
        <v>7045</v>
      </c>
      <c r="N6839" t="str">
        <f>"248030100801"</f>
        <v>248030100801</v>
      </c>
      <c r="O6839" t="str">
        <f>"460200199702094441"</f>
        <v>460200199702094441</v>
      </c>
    </row>
    <row r="6840" customFormat="1" spans="1:15">
      <c r="A6840">
        <v>8769</v>
      </c>
      <c r="B6840" t="s">
        <v>7046</v>
      </c>
      <c r="C6840" t="str">
        <f>"460033199210033307"</f>
        <v>460033199210033307</v>
      </c>
      <c r="L6840">
        <v>8769</v>
      </c>
      <c r="M6840" t="s">
        <v>7046</v>
      </c>
      <c r="O6840" t="str">
        <f>"460033199210033307"</f>
        <v>460033199210033307</v>
      </c>
    </row>
    <row r="6841" customFormat="1" spans="1:15">
      <c r="A6841">
        <v>8770</v>
      </c>
      <c r="B6841" t="s">
        <v>7047</v>
      </c>
      <c r="C6841" t="str">
        <f>"460033200207193583"</f>
        <v>460033200207193583</v>
      </c>
      <c r="D6841" t="str">
        <f>"248030203015"</f>
        <v>248030203015</v>
      </c>
      <c r="L6841">
        <v>8770</v>
      </c>
      <c r="M6841" t="s">
        <v>7047</v>
      </c>
      <c r="N6841" t="str">
        <f>"248030203015"</f>
        <v>248030203015</v>
      </c>
      <c r="O6841" t="str">
        <f>"460033200207193583"</f>
        <v>460033200207193583</v>
      </c>
    </row>
    <row r="6842" customFormat="1" spans="1:15">
      <c r="A6842">
        <v>8771</v>
      </c>
      <c r="B6842" t="s">
        <v>7048</v>
      </c>
      <c r="C6842" t="str">
        <f>"460007199403057222"</f>
        <v>460007199403057222</v>
      </c>
      <c r="D6842" t="str">
        <f>"248030200506"</f>
        <v>248030200506</v>
      </c>
      <c r="L6842">
        <v>8771</v>
      </c>
      <c r="M6842" t="s">
        <v>7048</v>
      </c>
      <c r="N6842" t="str">
        <f>"248030200506"</f>
        <v>248030200506</v>
      </c>
      <c r="O6842" t="str">
        <f>"460007199403057222"</f>
        <v>460007199403057222</v>
      </c>
    </row>
    <row r="6843" customFormat="1" spans="1:15">
      <c r="A6843">
        <v>8772</v>
      </c>
      <c r="B6843" t="s">
        <v>7049</v>
      </c>
      <c r="C6843" t="str">
        <f>"429005199007150044"</f>
        <v>429005199007150044</v>
      </c>
      <c r="D6843" t="str">
        <f>"248030101605"</f>
        <v>248030101605</v>
      </c>
      <c r="L6843">
        <v>8772</v>
      </c>
      <c r="M6843" t="s">
        <v>7049</v>
      </c>
      <c r="N6843" t="str">
        <f>"248030101605"</f>
        <v>248030101605</v>
      </c>
      <c r="O6843" t="str">
        <f>"429005199007150044"</f>
        <v>429005199007150044</v>
      </c>
    </row>
    <row r="6844" customFormat="1" spans="1:15">
      <c r="A6844">
        <v>8773</v>
      </c>
      <c r="B6844" t="s">
        <v>7050</v>
      </c>
      <c r="C6844" t="str">
        <f>"460004200008154627"</f>
        <v>460004200008154627</v>
      </c>
      <c r="D6844" t="str">
        <f>"248030101806"</f>
        <v>248030101806</v>
      </c>
      <c r="L6844">
        <v>8773</v>
      </c>
      <c r="M6844" t="s">
        <v>7050</v>
      </c>
      <c r="N6844" t="str">
        <f>"248030101806"</f>
        <v>248030101806</v>
      </c>
      <c r="O6844" t="str">
        <f>"460004200008154627"</f>
        <v>460004200008154627</v>
      </c>
    </row>
    <row r="6845" customFormat="1" spans="1:15">
      <c r="A6845">
        <v>8774</v>
      </c>
      <c r="B6845" t="s">
        <v>7051</v>
      </c>
      <c r="C6845" t="str">
        <f>"460003199603052826"</f>
        <v>460003199603052826</v>
      </c>
      <c r="L6845">
        <v>8774</v>
      </c>
      <c r="M6845" t="s">
        <v>7051</v>
      </c>
      <c r="O6845" t="str">
        <f>"460003199603052826"</f>
        <v>460003199603052826</v>
      </c>
    </row>
    <row r="6846" customFormat="1" spans="1:15">
      <c r="A6846">
        <v>8775</v>
      </c>
      <c r="B6846" t="s">
        <v>7052</v>
      </c>
      <c r="C6846" t="str">
        <f>"460005200106260526"</f>
        <v>460005200106260526</v>
      </c>
      <c r="D6846" t="str">
        <f>"248030503616"</f>
        <v>248030503616</v>
      </c>
      <c r="L6846">
        <v>8775</v>
      </c>
      <c r="M6846" t="s">
        <v>7052</v>
      </c>
      <c r="N6846" t="str">
        <f>"248030503616"</f>
        <v>248030503616</v>
      </c>
      <c r="O6846" t="str">
        <f>"460005200106260526"</f>
        <v>460005200106260526</v>
      </c>
    </row>
    <row r="6847" customFormat="1" spans="1:15">
      <c r="A6847">
        <v>8777</v>
      </c>
      <c r="B6847" t="s">
        <v>7053</v>
      </c>
      <c r="C6847" t="str">
        <f>"231005198903014561"</f>
        <v>231005198903014561</v>
      </c>
      <c r="L6847">
        <v>8777</v>
      </c>
      <c r="M6847" t="s">
        <v>7053</v>
      </c>
      <c r="O6847" t="str">
        <f>"231005198903014561"</f>
        <v>231005198903014561</v>
      </c>
    </row>
    <row r="6848" customFormat="1" spans="1:15">
      <c r="A6848">
        <v>8780</v>
      </c>
      <c r="B6848" t="s">
        <v>7054</v>
      </c>
      <c r="C6848" t="str">
        <f>"412825199304277114"</f>
        <v>412825199304277114</v>
      </c>
      <c r="D6848" t="str">
        <f>"248030401702"</f>
        <v>248030401702</v>
      </c>
      <c r="L6848">
        <v>8780</v>
      </c>
      <c r="M6848" t="s">
        <v>7054</v>
      </c>
      <c r="N6848" t="str">
        <f>"248030401702"</f>
        <v>248030401702</v>
      </c>
      <c r="O6848" t="str">
        <f>"412825199304277114"</f>
        <v>412825199304277114</v>
      </c>
    </row>
    <row r="6849" customFormat="1" spans="1:15">
      <c r="A6849">
        <v>8781</v>
      </c>
      <c r="B6849" t="s">
        <v>7055</v>
      </c>
      <c r="C6849" t="str">
        <f>"460005200203280529"</f>
        <v>460005200203280529</v>
      </c>
      <c r="D6849" t="str">
        <f>"248030401126"</f>
        <v>248030401126</v>
      </c>
      <c r="L6849">
        <v>8781</v>
      </c>
      <c r="M6849" t="s">
        <v>7055</v>
      </c>
      <c r="N6849" t="str">
        <f>"248030401126"</f>
        <v>248030401126</v>
      </c>
      <c r="O6849" t="str">
        <f>"460005200203280529"</f>
        <v>460005200203280529</v>
      </c>
    </row>
    <row r="6850" customFormat="1" spans="1:15">
      <c r="A6850">
        <v>8782</v>
      </c>
      <c r="B6850" t="s">
        <v>7056</v>
      </c>
      <c r="C6850" t="str">
        <f>"460003199602032823"</f>
        <v>460003199602032823</v>
      </c>
      <c r="D6850" t="str">
        <f>"248030301406"</f>
        <v>248030301406</v>
      </c>
      <c r="L6850">
        <v>8782</v>
      </c>
      <c r="M6850" t="s">
        <v>7056</v>
      </c>
      <c r="N6850" t="str">
        <f>"248030301406"</f>
        <v>248030301406</v>
      </c>
      <c r="O6850" t="str">
        <f>"460003199602032823"</f>
        <v>460003199602032823</v>
      </c>
    </row>
    <row r="6851" customFormat="1" spans="1:15">
      <c r="A6851">
        <v>8783</v>
      </c>
      <c r="B6851" t="s">
        <v>7057</v>
      </c>
      <c r="C6851" t="str">
        <f>"469028200012131224"</f>
        <v>469028200012131224</v>
      </c>
      <c r="L6851">
        <v>8783</v>
      </c>
      <c r="M6851" t="s">
        <v>7057</v>
      </c>
      <c r="O6851" t="str">
        <f>"469028200012131224"</f>
        <v>469028200012131224</v>
      </c>
    </row>
    <row r="6852" customFormat="1" spans="1:15">
      <c r="A6852">
        <v>8784</v>
      </c>
      <c r="B6852" t="s">
        <v>7058</v>
      </c>
      <c r="C6852" t="str">
        <f>"460003199910240026"</f>
        <v>460003199910240026</v>
      </c>
      <c r="D6852" t="str">
        <f>"248030103602"</f>
        <v>248030103602</v>
      </c>
      <c r="L6852">
        <v>8784</v>
      </c>
      <c r="M6852" t="s">
        <v>7058</v>
      </c>
      <c r="N6852" t="str">
        <f>"248030103602"</f>
        <v>248030103602</v>
      </c>
      <c r="O6852" t="str">
        <f>"460003199910240026"</f>
        <v>460003199910240026</v>
      </c>
    </row>
    <row r="6853" customFormat="1" spans="1:15">
      <c r="A6853">
        <v>8785</v>
      </c>
      <c r="B6853" t="s">
        <v>7059</v>
      </c>
      <c r="C6853" t="str">
        <f>"46000520010906482X"</f>
        <v>46000520010906482X</v>
      </c>
      <c r="L6853">
        <v>8785</v>
      </c>
      <c r="M6853" t="s">
        <v>7059</v>
      </c>
      <c r="O6853" t="str">
        <f>"46000520010906482X"</f>
        <v>46000520010906482X</v>
      </c>
    </row>
    <row r="6854" customFormat="1" spans="1:15">
      <c r="A6854">
        <v>8787</v>
      </c>
      <c r="B6854" t="s">
        <v>7060</v>
      </c>
      <c r="C6854" t="str">
        <f>"460004199912130425"</f>
        <v>460004199912130425</v>
      </c>
      <c r="L6854">
        <v>8787</v>
      </c>
      <c r="M6854" t="s">
        <v>7060</v>
      </c>
      <c r="O6854" t="str">
        <f>"460004199912130425"</f>
        <v>460004199912130425</v>
      </c>
    </row>
    <row r="6855" customFormat="1" spans="1:15">
      <c r="A6855">
        <v>8788</v>
      </c>
      <c r="B6855" t="s">
        <v>2604</v>
      </c>
      <c r="C6855" t="str">
        <f>"220882200106216025"</f>
        <v>220882200106216025</v>
      </c>
      <c r="D6855" t="str">
        <f>"248030103327"</f>
        <v>248030103327</v>
      </c>
      <c r="L6855">
        <v>8788</v>
      </c>
      <c r="M6855" t="s">
        <v>2604</v>
      </c>
      <c r="N6855" t="str">
        <f>"248030103327"</f>
        <v>248030103327</v>
      </c>
      <c r="O6855" t="str">
        <f>"220882200106216025"</f>
        <v>220882200106216025</v>
      </c>
    </row>
    <row r="6856" customFormat="1" spans="1:15">
      <c r="A6856">
        <v>8789</v>
      </c>
      <c r="B6856" t="s">
        <v>7061</v>
      </c>
      <c r="C6856" t="str">
        <f>"320322199609048662"</f>
        <v>320322199609048662</v>
      </c>
      <c r="D6856" t="str">
        <f>"248030300527"</f>
        <v>248030300527</v>
      </c>
      <c r="L6856">
        <v>8789</v>
      </c>
      <c r="M6856" t="s">
        <v>7061</v>
      </c>
      <c r="N6856" t="str">
        <f>"248030300527"</f>
        <v>248030300527</v>
      </c>
      <c r="O6856" t="str">
        <f>"320322199609048662"</f>
        <v>320322199609048662</v>
      </c>
    </row>
    <row r="6857" customFormat="1" spans="1:15">
      <c r="A6857">
        <v>8790</v>
      </c>
      <c r="B6857" t="s">
        <v>7062</v>
      </c>
      <c r="C6857" t="str">
        <f>"460006198711132369"</f>
        <v>460006198711132369</v>
      </c>
      <c r="D6857" t="str">
        <f>"248030501130"</f>
        <v>248030501130</v>
      </c>
      <c r="L6857">
        <v>8790</v>
      </c>
      <c r="M6857" t="s">
        <v>7062</v>
      </c>
      <c r="N6857" t="str">
        <f>"248030501130"</f>
        <v>248030501130</v>
      </c>
      <c r="O6857" t="str">
        <f>"460006198711132369"</f>
        <v>460006198711132369</v>
      </c>
    </row>
    <row r="6858" customFormat="1" spans="1:15">
      <c r="A6858">
        <v>8791</v>
      </c>
      <c r="B6858" t="s">
        <v>7063</v>
      </c>
      <c r="C6858" t="str">
        <f>"469024199410216425"</f>
        <v>469024199410216425</v>
      </c>
      <c r="D6858" t="str">
        <f>"248030104517"</f>
        <v>248030104517</v>
      </c>
      <c r="L6858">
        <v>8791</v>
      </c>
      <c r="M6858" t="s">
        <v>7063</v>
      </c>
      <c r="N6858" t="str">
        <f>"248030104517"</f>
        <v>248030104517</v>
      </c>
      <c r="O6858" t="str">
        <f>"469024199410216425"</f>
        <v>469024199410216425</v>
      </c>
    </row>
    <row r="6859" customFormat="1" spans="1:15">
      <c r="A6859">
        <v>8792</v>
      </c>
      <c r="B6859" t="s">
        <v>7064</v>
      </c>
      <c r="C6859" t="str">
        <f>"460033199602175988"</f>
        <v>460033199602175988</v>
      </c>
      <c r="L6859">
        <v>8792</v>
      </c>
      <c r="M6859" t="s">
        <v>7064</v>
      </c>
      <c r="O6859" t="str">
        <f>"460033199602175988"</f>
        <v>460033199602175988</v>
      </c>
    </row>
    <row r="6860" customFormat="1" spans="1:15">
      <c r="A6860">
        <v>8793</v>
      </c>
      <c r="B6860" t="s">
        <v>7065</v>
      </c>
      <c r="C6860" t="str">
        <f>"460003199906144648"</f>
        <v>460003199906144648</v>
      </c>
      <c r="D6860" t="str">
        <f>"248030103921"</f>
        <v>248030103921</v>
      </c>
      <c r="L6860">
        <v>8793</v>
      </c>
      <c r="M6860" t="s">
        <v>7065</v>
      </c>
      <c r="N6860" t="str">
        <f>"248030103921"</f>
        <v>248030103921</v>
      </c>
      <c r="O6860" t="str">
        <f>"460003199906144648"</f>
        <v>460003199906144648</v>
      </c>
    </row>
    <row r="6861" customFormat="1" spans="1:15">
      <c r="A6861">
        <v>8794</v>
      </c>
      <c r="B6861" t="s">
        <v>7066</v>
      </c>
      <c r="C6861" t="str">
        <f>"460006199906048727"</f>
        <v>460006199906048727</v>
      </c>
      <c r="D6861" t="str">
        <f>"248030301207"</f>
        <v>248030301207</v>
      </c>
      <c r="L6861">
        <v>8794</v>
      </c>
      <c r="M6861" t="s">
        <v>7066</v>
      </c>
      <c r="N6861" t="str">
        <f>"248030301207"</f>
        <v>248030301207</v>
      </c>
      <c r="O6861" t="str">
        <f>"460006199906048727"</f>
        <v>460006199906048727</v>
      </c>
    </row>
    <row r="6862" customFormat="1" spans="1:15">
      <c r="A6862">
        <v>8795</v>
      </c>
      <c r="B6862" t="s">
        <v>7067</v>
      </c>
      <c r="C6862" t="str">
        <f>"460003199007088822"</f>
        <v>460003199007088822</v>
      </c>
      <c r="L6862">
        <v>8795</v>
      </c>
      <c r="M6862" t="s">
        <v>7067</v>
      </c>
      <c r="O6862" t="str">
        <f>"460003199007088822"</f>
        <v>460003199007088822</v>
      </c>
    </row>
    <row r="6863" customFormat="1" spans="1:15">
      <c r="A6863">
        <v>8799</v>
      </c>
      <c r="B6863" t="s">
        <v>7068</v>
      </c>
      <c r="C6863" t="str">
        <f>"460033198808257167"</f>
        <v>460033198808257167</v>
      </c>
      <c r="D6863" t="str">
        <f>"248030300118"</f>
        <v>248030300118</v>
      </c>
      <c r="L6863">
        <v>8799</v>
      </c>
      <c r="M6863" t="s">
        <v>7068</v>
      </c>
      <c r="N6863" t="str">
        <f>"248030300118"</f>
        <v>248030300118</v>
      </c>
      <c r="O6863" t="str">
        <f>"460033198808257167"</f>
        <v>460033198808257167</v>
      </c>
    </row>
    <row r="6864" customFormat="1" spans="1:15">
      <c r="A6864">
        <v>8800</v>
      </c>
      <c r="B6864" t="s">
        <v>7069</v>
      </c>
      <c r="C6864" t="str">
        <f>"460003200009026612"</f>
        <v>460003200009026612</v>
      </c>
      <c r="L6864">
        <v>8800</v>
      </c>
      <c r="M6864" t="s">
        <v>7069</v>
      </c>
      <c r="O6864" t="str">
        <f>"460003200009026612"</f>
        <v>460003200009026612</v>
      </c>
    </row>
    <row r="6865" customFormat="1" spans="1:15">
      <c r="A6865">
        <v>8801</v>
      </c>
      <c r="B6865" t="s">
        <v>7070</v>
      </c>
      <c r="C6865" t="str">
        <f>"460102200011102126"</f>
        <v>460102200011102126</v>
      </c>
      <c r="L6865">
        <v>8801</v>
      </c>
      <c r="M6865" t="s">
        <v>7070</v>
      </c>
      <c r="O6865" t="str">
        <f>"460102200011102126"</f>
        <v>460102200011102126</v>
      </c>
    </row>
    <row r="6866" customFormat="1" spans="1:15">
      <c r="A6866">
        <v>8802</v>
      </c>
      <c r="B6866" t="s">
        <v>7071</v>
      </c>
      <c r="C6866" t="str">
        <f>"460104200203010317"</f>
        <v>460104200203010317</v>
      </c>
      <c r="D6866" t="str">
        <f>"248030402011"</f>
        <v>248030402011</v>
      </c>
      <c r="L6866">
        <v>8802</v>
      </c>
      <c r="M6866" t="s">
        <v>7071</v>
      </c>
      <c r="N6866" t="str">
        <f>"248030402011"</f>
        <v>248030402011</v>
      </c>
      <c r="O6866" t="str">
        <f>"460104200203010317"</f>
        <v>460104200203010317</v>
      </c>
    </row>
    <row r="6867" customFormat="1" spans="1:15">
      <c r="A6867">
        <v>8803</v>
      </c>
      <c r="B6867" t="s">
        <v>7072</v>
      </c>
      <c r="C6867" t="str">
        <f>"460006200207133426"</f>
        <v>460006200207133426</v>
      </c>
      <c r="D6867" t="str">
        <f>"248030502904"</f>
        <v>248030502904</v>
      </c>
      <c r="L6867">
        <v>8803</v>
      </c>
      <c r="M6867" t="s">
        <v>7072</v>
      </c>
      <c r="N6867" t="str">
        <f>"248030502904"</f>
        <v>248030502904</v>
      </c>
      <c r="O6867" t="str">
        <f>"460006200207133426"</f>
        <v>460006200207133426</v>
      </c>
    </row>
    <row r="6868" customFormat="1" spans="1:15">
      <c r="A6868">
        <v>8804</v>
      </c>
      <c r="B6868" t="s">
        <v>7073</v>
      </c>
      <c r="C6868" t="str">
        <f>"460200199803101401"</f>
        <v>460200199803101401</v>
      </c>
      <c r="D6868" t="str">
        <f>"248030103425"</f>
        <v>248030103425</v>
      </c>
      <c r="L6868">
        <v>8804</v>
      </c>
      <c r="M6868" t="s">
        <v>7073</v>
      </c>
      <c r="N6868" t="str">
        <f>"248030103425"</f>
        <v>248030103425</v>
      </c>
      <c r="O6868" t="str">
        <f>"460200199803101401"</f>
        <v>460200199803101401</v>
      </c>
    </row>
    <row r="6869" customFormat="1" spans="1:15">
      <c r="A6869">
        <v>8805</v>
      </c>
      <c r="B6869" t="s">
        <v>5125</v>
      </c>
      <c r="C6869" t="str">
        <f>"460102199912193322"</f>
        <v>460102199912193322</v>
      </c>
      <c r="D6869" t="str">
        <f>"248030101104"</f>
        <v>248030101104</v>
      </c>
      <c r="L6869">
        <v>8805</v>
      </c>
      <c r="M6869" t="s">
        <v>5125</v>
      </c>
      <c r="N6869" t="str">
        <f>"248030101104"</f>
        <v>248030101104</v>
      </c>
      <c r="O6869" t="str">
        <f>"460102199912193322"</f>
        <v>460102199912193322</v>
      </c>
    </row>
    <row r="6870" customFormat="1" spans="1:15">
      <c r="A6870">
        <v>8806</v>
      </c>
      <c r="B6870" t="s">
        <v>7074</v>
      </c>
      <c r="C6870" t="str">
        <f>"460004200206032428"</f>
        <v>460004200206032428</v>
      </c>
      <c r="D6870" t="str">
        <f>"248030100926"</f>
        <v>248030100926</v>
      </c>
      <c r="L6870">
        <v>8806</v>
      </c>
      <c r="M6870" t="s">
        <v>7074</v>
      </c>
      <c r="N6870" t="str">
        <f>"248030100926"</f>
        <v>248030100926</v>
      </c>
      <c r="O6870" t="str">
        <f>"460004200206032428"</f>
        <v>460004200206032428</v>
      </c>
    </row>
    <row r="6871" customFormat="1" spans="1:15">
      <c r="A6871">
        <v>8807</v>
      </c>
      <c r="B6871" t="s">
        <v>7075</v>
      </c>
      <c r="C6871" t="str">
        <f>"460026200010223925"</f>
        <v>460026200010223925</v>
      </c>
      <c r="D6871" t="str">
        <f>"248030103911"</f>
        <v>248030103911</v>
      </c>
      <c r="L6871">
        <v>8807</v>
      </c>
      <c r="M6871" t="s">
        <v>7075</v>
      </c>
      <c r="N6871" t="str">
        <f>"248030103911"</f>
        <v>248030103911</v>
      </c>
      <c r="O6871" t="str">
        <f>"460026200010223925"</f>
        <v>460026200010223925</v>
      </c>
    </row>
    <row r="6872" customFormat="1" spans="1:15">
      <c r="A6872">
        <v>8808</v>
      </c>
      <c r="B6872" t="s">
        <v>7076</v>
      </c>
      <c r="C6872" t="str">
        <f>"469026199911174027"</f>
        <v>469026199911174027</v>
      </c>
      <c r="D6872" t="str">
        <f>"248030400409"</f>
        <v>248030400409</v>
      </c>
      <c r="L6872">
        <v>8808</v>
      </c>
      <c r="M6872" t="s">
        <v>7076</v>
      </c>
      <c r="N6872" t="str">
        <f>"248030400409"</f>
        <v>248030400409</v>
      </c>
      <c r="O6872" t="str">
        <f>"469026199911174027"</f>
        <v>469026199911174027</v>
      </c>
    </row>
    <row r="6873" customFormat="1" spans="1:15">
      <c r="A6873">
        <v>8811</v>
      </c>
      <c r="B6873" t="s">
        <v>7077</v>
      </c>
      <c r="C6873" t="str">
        <f>"460102198809150944"</f>
        <v>460102198809150944</v>
      </c>
      <c r="D6873" t="str">
        <f>"248030301719"</f>
        <v>248030301719</v>
      </c>
      <c r="L6873">
        <v>8811</v>
      </c>
      <c r="M6873" t="s">
        <v>7077</v>
      </c>
      <c r="N6873" t="str">
        <f>"248030301719"</f>
        <v>248030301719</v>
      </c>
      <c r="O6873" t="str">
        <f>"460102198809150944"</f>
        <v>460102198809150944</v>
      </c>
    </row>
    <row r="6874" customFormat="1" spans="1:15">
      <c r="A6874">
        <v>8812</v>
      </c>
      <c r="B6874" t="s">
        <v>7078</v>
      </c>
      <c r="C6874" t="str">
        <f>"460005199907150022"</f>
        <v>460005199907150022</v>
      </c>
      <c r="L6874">
        <v>8812</v>
      </c>
      <c r="M6874" t="s">
        <v>7078</v>
      </c>
      <c r="O6874" t="str">
        <f>"460005199907150022"</f>
        <v>460005199907150022</v>
      </c>
    </row>
    <row r="6875" customFormat="1" spans="1:15">
      <c r="A6875">
        <v>8813</v>
      </c>
      <c r="B6875" t="s">
        <v>7079</v>
      </c>
      <c r="C6875" t="str">
        <f>"460027200110093423"</f>
        <v>460027200110093423</v>
      </c>
      <c r="D6875" t="str">
        <f>"248030302220"</f>
        <v>248030302220</v>
      </c>
      <c r="L6875">
        <v>8813</v>
      </c>
      <c r="M6875" t="s">
        <v>7079</v>
      </c>
      <c r="N6875" t="str">
        <f>"248030302220"</f>
        <v>248030302220</v>
      </c>
      <c r="O6875" t="str">
        <f>"460027200110093423"</f>
        <v>460027200110093423</v>
      </c>
    </row>
    <row r="6876" customFormat="1" spans="1:15">
      <c r="A6876">
        <v>8814</v>
      </c>
      <c r="B6876" t="s">
        <v>7080</v>
      </c>
      <c r="C6876" t="str">
        <f>"46002819940105568X"</f>
        <v>46002819940105568X</v>
      </c>
      <c r="L6876">
        <v>8814</v>
      </c>
      <c r="M6876" t="s">
        <v>7080</v>
      </c>
      <c r="O6876" t="str">
        <f>"46002819940105568X"</f>
        <v>46002819940105568X</v>
      </c>
    </row>
    <row r="6877" customFormat="1" spans="1:15">
      <c r="A6877">
        <v>8815</v>
      </c>
      <c r="B6877" t="s">
        <v>7081</v>
      </c>
      <c r="C6877" t="str">
        <f>"46000319920518142X"</f>
        <v>46000319920518142X</v>
      </c>
      <c r="D6877" t="str">
        <f>"248030500309"</f>
        <v>248030500309</v>
      </c>
      <c r="L6877">
        <v>8815</v>
      </c>
      <c r="M6877" t="s">
        <v>7081</v>
      </c>
      <c r="N6877" t="str">
        <f>"248030500309"</f>
        <v>248030500309</v>
      </c>
      <c r="O6877" t="str">
        <f>"46000319920518142X"</f>
        <v>46000319920518142X</v>
      </c>
    </row>
    <row r="6878" customFormat="1" spans="1:15">
      <c r="A6878">
        <v>8816</v>
      </c>
      <c r="B6878" t="s">
        <v>7082</v>
      </c>
      <c r="C6878" t="str">
        <f>"460007199308187248"</f>
        <v>460007199308187248</v>
      </c>
      <c r="L6878">
        <v>8816</v>
      </c>
      <c r="M6878" t="s">
        <v>7082</v>
      </c>
      <c r="O6878" t="str">
        <f>"460007199308187248"</f>
        <v>460007199308187248</v>
      </c>
    </row>
    <row r="6879" customFormat="1" spans="1:15">
      <c r="A6879">
        <v>8818</v>
      </c>
      <c r="B6879" t="s">
        <v>7083</v>
      </c>
      <c r="C6879" t="str">
        <f>"211324199905155321"</f>
        <v>211324199905155321</v>
      </c>
      <c r="D6879" t="str">
        <f>"248030202822"</f>
        <v>248030202822</v>
      </c>
      <c r="L6879">
        <v>8818</v>
      </c>
      <c r="M6879" t="s">
        <v>7083</v>
      </c>
      <c r="N6879" t="str">
        <f>"248030202822"</f>
        <v>248030202822</v>
      </c>
      <c r="O6879" t="str">
        <f>"211324199905155321"</f>
        <v>211324199905155321</v>
      </c>
    </row>
    <row r="6880" customFormat="1" spans="1:15">
      <c r="A6880">
        <v>8819</v>
      </c>
      <c r="B6880" t="s">
        <v>7084</v>
      </c>
      <c r="C6880" t="str">
        <f>"460025199307110647"</f>
        <v>460025199307110647</v>
      </c>
      <c r="L6880">
        <v>8819</v>
      </c>
      <c r="M6880" t="s">
        <v>7084</v>
      </c>
      <c r="O6880" t="str">
        <f>"460025199307110647"</f>
        <v>460025199307110647</v>
      </c>
    </row>
    <row r="6881" customFormat="1" spans="1:15">
      <c r="A6881">
        <v>8822</v>
      </c>
      <c r="B6881" t="s">
        <v>7085</v>
      </c>
      <c r="C6881" t="str">
        <f>"460003199409224225"</f>
        <v>460003199409224225</v>
      </c>
      <c r="L6881">
        <v>8822</v>
      </c>
      <c r="M6881" t="s">
        <v>7085</v>
      </c>
      <c r="O6881" t="str">
        <f>"460003199409224225"</f>
        <v>460003199409224225</v>
      </c>
    </row>
    <row r="6882" customFormat="1" spans="1:15">
      <c r="A6882">
        <v>8823</v>
      </c>
      <c r="B6882" t="s">
        <v>7086</v>
      </c>
      <c r="C6882" t="str">
        <f>"460004199108034424"</f>
        <v>460004199108034424</v>
      </c>
      <c r="L6882">
        <v>8823</v>
      </c>
      <c r="M6882" t="s">
        <v>7086</v>
      </c>
      <c r="O6882" t="str">
        <f>"460004199108034424"</f>
        <v>460004199108034424</v>
      </c>
    </row>
    <row r="6883" customFormat="1" spans="1:15">
      <c r="A6883">
        <v>8824</v>
      </c>
      <c r="B6883" t="s">
        <v>7087</v>
      </c>
      <c r="C6883" t="str">
        <f>"371322199006274927"</f>
        <v>371322199006274927</v>
      </c>
      <c r="L6883">
        <v>8824</v>
      </c>
      <c r="M6883" t="s">
        <v>7087</v>
      </c>
      <c r="O6883" t="str">
        <f>"371322199006274927"</f>
        <v>371322199006274927</v>
      </c>
    </row>
    <row r="6884" customFormat="1" spans="1:15">
      <c r="A6884">
        <v>8825</v>
      </c>
      <c r="B6884" t="s">
        <v>7088</v>
      </c>
      <c r="C6884" t="str">
        <f>"622723198504280402"</f>
        <v>622723198504280402</v>
      </c>
      <c r="L6884">
        <v>8825</v>
      </c>
      <c r="M6884" t="s">
        <v>7088</v>
      </c>
      <c r="O6884" t="str">
        <f>"622723198504280402"</f>
        <v>622723198504280402</v>
      </c>
    </row>
    <row r="6885" customFormat="1" spans="1:15">
      <c r="A6885">
        <v>8828</v>
      </c>
      <c r="B6885" t="s">
        <v>7089</v>
      </c>
      <c r="C6885" t="str">
        <f>"460034200107190429"</f>
        <v>460034200107190429</v>
      </c>
      <c r="D6885" t="str">
        <f>"248030302729"</f>
        <v>248030302729</v>
      </c>
      <c r="L6885">
        <v>8828</v>
      </c>
      <c r="M6885" t="s">
        <v>7089</v>
      </c>
      <c r="N6885" t="str">
        <f>"248030302729"</f>
        <v>248030302729</v>
      </c>
      <c r="O6885" t="str">
        <f>"460034200107190429"</f>
        <v>460034200107190429</v>
      </c>
    </row>
    <row r="6886" customFormat="1" spans="1:15">
      <c r="A6886">
        <v>8829</v>
      </c>
      <c r="B6886" t="s">
        <v>7090</v>
      </c>
      <c r="C6886" t="str">
        <f>"460003199207146417"</f>
        <v>460003199207146417</v>
      </c>
      <c r="D6886" t="str">
        <f>"248030103923"</f>
        <v>248030103923</v>
      </c>
      <c r="L6886">
        <v>8829</v>
      </c>
      <c r="M6886" t="s">
        <v>7090</v>
      </c>
      <c r="N6886" t="str">
        <f>"248030103923"</f>
        <v>248030103923</v>
      </c>
      <c r="O6886" t="str">
        <f>"460003199207146417"</f>
        <v>460003199207146417</v>
      </c>
    </row>
    <row r="6887" customFormat="1" spans="1:15">
      <c r="A6887">
        <v>8830</v>
      </c>
      <c r="B6887" t="s">
        <v>7091</v>
      </c>
      <c r="C6887" t="str">
        <f>"361127200009175726"</f>
        <v>361127200009175726</v>
      </c>
      <c r="D6887" t="str">
        <f>"248030502629"</f>
        <v>248030502629</v>
      </c>
      <c r="L6887">
        <v>8830</v>
      </c>
      <c r="M6887" t="s">
        <v>7091</v>
      </c>
      <c r="N6887" t="str">
        <f>"248030502629"</f>
        <v>248030502629</v>
      </c>
      <c r="O6887" t="str">
        <f>"361127200009175726"</f>
        <v>361127200009175726</v>
      </c>
    </row>
    <row r="6888" customFormat="1" spans="1:15">
      <c r="A6888">
        <v>8831</v>
      </c>
      <c r="B6888" t="s">
        <v>7092</v>
      </c>
      <c r="C6888" t="str">
        <f>"420921199312102840"</f>
        <v>420921199312102840</v>
      </c>
      <c r="D6888" t="str">
        <f>"248030102927"</f>
        <v>248030102927</v>
      </c>
      <c r="L6888">
        <v>8831</v>
      </c>
      <c r="M6888" t="s">
        <v>7092</v>
      </c>
      <c r="N6888" t="str">
        <f>"248030102927"</f>
        <v>248030102927</v>
      </c>
      <c r="O6888" t="str">
        <f>"420921199312102840"</f>
        <v>420921199312102840</v>
      </c>
    </row>
    <row r="6889" customFormat="1" spans="1:15">
      <c r="A6889">
        <v>8833</v>
      </c>
      <c r="B6889" t="s">
        <v>7093</v>
      </c>
      <c r="C6889" t="str">
        <f>"460006199805051644"</f>
        <v>460006199805051644</v>
      </c>
      <c r="L6889">
        <v>8833</v>
      </c>
      <c r="M6889" t="s">
        <v>7093</v>
      </c>
      <c r="O6889" t="str">
        <f>"460006199805051644"</f>
        <v>460006199805051644</v>
      </c>
    </row>
    <row r="6890" customFormat="1" spans="1:15">
      <c r="A6890">
        <v>8835</v>
      </c>
      <c r="B6890" t="s">
        <v>7094</v>
      </c>
      <c r="C6890" t="str">
        <f>"460003199802013838"</f>
        <v>460003199802013838</v>
      </c>
      <c r="D6890" t="str">
        <f>"248030401017"</f>
        <v>248030401017</v>
      </c>
      <c r="L6890">
        <v>8835</v>
      </c>
      <c r="M6890" t="s">
        <v>7094</v>
      </c>
      <c r="N6890" t="str">
        <f>"248030401017"</f>
        <v>248030401017</v>
      </c>
      <c r="O6890" t="str">
        <f>"460003199802013838"</f>
        <v>460003199802013838</v>
      </c>
    </row>
    <row r="6891" customFormat="1" spans="1:15">
      <c r="A6891">
        <v>8838</v>
      </c>
      <c r="B6891" t="s">
        <v>7095</v>
      </c>
      <c r="C6891" t="str">
        <f>"430521199404170031"</f>
        <v>430521199404170031</v>
      </c>
      <c r="L6891">
        <v>8838</v>
      </c>
      <c r="M6891" t="s">
        <v>7095</v>
      </c>
      <c r="O6891" t="str">
        <f>"430521199404170031"</f>
        <v>430521199404170031</v>
      </c>
    </row>
    <row r="6892" customFormat="1" spans="1:15">
      <c r="A6892">
        <v>8839</v>
      </c>
      <c r="B6892" t="s">
        <v>7096</v>
      </c>
      <c r="C6892" t="str">
        <f>"370302199803140343"</f>
        <v>370302199803140343</v>
      </c>
      <c r="D6892" t="str">
        <f>"248030202113"</f>
        <v>248030202113</v>
      </c>
      <c r="L6892">
        <v>8839</v>
      </c>
      <c r="M6892" t="s">
        <v>7096</v>
      </c>
      <c r="N6892" t="str">
        <f>"248030202113"</f>
        <v>248030202113</v>
      </c>
      <c r="O6892" t="str">
        <f>"370302199803140343"</f>
        <v>370302199803140343</v>
      </c>
    </row>
    <row r="6893" customFormat="1" spans="1:15">
      <c r="A6893">
        <v>8840</v>
      </c>
      <c r="B6893" t="s">
        <v>7097</v>
      </c>
      <c r="C6893" t="str">
        <f>"460003199510090225"</f>
        <v>460003199510090225</v>
      </c>
      <c r="D6893" t="str">
        <f>"248030203110"</f>
        <v>248030203110</v>
      </c>
      <c r="L6893">
        <v>8840</v>
      </c>
      <c r="M6893" t="s">
        <v>7097</v>
      </c>
      <c r="N6893" t="str">
        <f>"248030203110"</f>
        <v>248030203110</v>
      </c>
      <c r="O6893" t="str">
        <f>"460003199510090225"</f>
        <v>460003199510090225</v>
      </c>
    </row>
    <row r="6894" customFormat="1" spans="1:15">
      <c r="A6894">
        <v>8841</v>
      </c>
      <c r="B6894" t="s">
        <v>7098</v>
      </c>
      <c r="C6894" t="str">
        <f>"22032219910123038X"</f>
        <v>22032219910123038X</v>
      </c>
      <c r="D6894" t="str">
        <f>"248030101014"</f>
        <v>248030101014</v>
      </c>
      <c r="L6894">
        <v>8841</v>
      </c>
      <c r="M6894" t="s">
        <v>7098</v>
      </c>
      <c r="N6894" t="str">
        <f>"248030101014"</f>
        <v>248030101014</v>
      </c>
      <c r="O6894" t="str">
        <f>"22032219910123038X"</f>
        <v>22032219910123038X</v>
      </c>
    </row>
    <row r="6895" customFormat="1" spans="1:15">
      <c r="A6895">
        <v>8843</v>
      </c>
      <c r="B6895" t="s">
        <v>7099</v>
      </c>
      <c r="C6895" t="str">
        <f>"500236200101184673"</f>
        <v>500236200101184673</v>
      </c>
      <c r="D6895" t="str">
        <f>"248030201914"</f>
        <v>248030201914</v>
      </c>
      <c r="L6895">
        <v>8843</v>
      </c>
      <c r="M6895" t="s">
        <v>7099</v>
      </c>
      <c r="N6895" t="str">
        <f>"248030201914"</f>
        <v>248030201914</v>
      </c>
      <c r="O6895" t="str">
        <f>"500236200101184673"</f>
        <v>500236200101184673</v>
      </c>
    </row>
    <row r="6896" customFormat="1" spans="1:15">
      <c r="A6896">
        <v>8845</v>
      </c>
      <c r="B6896" t="s">
        <v>7100</v>
      </c>
      <c r="C6896" t="str">
        <f>"440881199009022228"</f>
        <v>440881199009022228</v>
      </c>
      <c r="L6896">
        <v>8845</v>
      </c>
      <c r="M6896" t="s">
        <v>7100</v>
      </c>
      <c r="O6896" t="str">
        <f>"440881199009022228"</f>
        <v>440881199009022228</v>
      </c>
    </row>
    <row r="6897" customFormat="1" spans="1:15">
      <c r="A6897">
        <v>8846</v>
      </c>
      <c r="B6897" t="s">
        <v>7101</v>
      </c>
      <c r="C6897" t="str">
        <f>"460006199004144066"</f>
        <v>460006199004144066</v>
      </c>
      <c r="L6897">
        <v>8846</v>
      </c>
      <c r="M6897" t="s">
        <v>7101</v>
      </c>
      <c r="O6897" t="str">
        <f>"460006199004144066"</f>
        <v>460006199004144066</v>
      </c>
    </row>
    <row r="6898" customFormat="1" spans="1:15">
      <c r="A6898">
        <v>8848</v>
      </c>
      <c r="B6898" t="s">
        <v>7102</v>
      </c>
      <c r="C6898" t="str">
        <f>"460031200103085243"</f>
        <v>460031200103085243</v>
      </c>
      <c r="D6898" t="str">
        <f>"248030403530"</f>
        <v>248030403530</v>
      </c>
      <c r="L6898">
        <v>8848</v>
      </c>
      <c r="M6898" t="s">
        <v>7102</v>
      </c>
      <c r="N6898" t="str">
        <f>"248030403530"</f>
        <v>248030403530</v>
      </c>
      <c r="O6898" t="str">
        <f>"460031200103085243"</f>
        <v>460031200103085243</v>
      </c>
    </row>
    <row r="6899" customFormat="1" spans="1:15">
      <c r="A6899">
        <v>8849</v>
      </c>
      <c r="B6899" t="s">
        <v>2522</v>
      </c>
      <c r="C6899" t="str">
        <f>"460004200107203228"</f>
        <v>460004200107203228</v>
      </c>
      <c r="D6899" t="str">
        <f>"248030100216"</f>
        <v>248030100216</v>
      </c>
      <c r="L6899">
        <v>8849</v>
      </c>
      <c r="M6899" t="s">
        <v>2522</v>
      </c>
      <c r="N6899" t="str">
        <f>"248030100216"</f>
        <v>248030100216</v>
      </c>
      <c r="O6899" t="str">
        <f>"460004200107203228"</f>
        <v>460004200107203228</v>
      </c>
    </row>
    <row r="6900" customFormat="1" spans="1:15">
      <c r="A6900">
        <v>8852</v>
      </c>
      <c r="B6900" t="s">
        <v>7103</v>
      </c>
      <c r="C6900" t="str">
        <f>"460028200011070839"</f>
        <v>460028200011070839</v>
      </c>
      <c r="L6900">
        <v>8852</v>
      </c>
      <c r="M6900" t="s">
        <v>7103</v>
      </c>
      <c r="O6900" t="str">
        <f>"460028200011070839"</f>
        <v>460028200011070839</v>
      </c>
    </row>
    <row r="6901" customFormat="1" spans="1:15">
      <c r="A6901">
        <v>8853</v>
      </c>
      <c r="B6901" t="s">
        <v>7104</v>
      </c>
      <c r="C6901" t="str">
        <f>"460007199412255765"</f>
        <v>460007199412255765</v>
      </c>
      <c r="L6901">
        <v>8853</v>
      </c>
      <c r="M6901" t="s">
        <v>7104</v>
      </c>
      <c r="O6901" t="str">
        <f>"460007199412255765"</f>
        <v>460007199412255765</v>
      </c>
    </row>
    <row r="6902" customFormat="1" spans="1:15">
      <c r="A6902">
        <v>8854</v>
      </c>
      <c r="B6902" t="s">
        <v>7105</v>
      </c>
      <c r="C6902" t="str">
        <f>"460025199909072422"</f>
        <v>460025199909072422</v>
      </c>
      <c r="L6902">
        <v>8854</v>
      </c>
      <c r="M6902" t="s">
        <v>7105</v>
      </c>
      <c r="O6902" t="str">
        <f>"460025199909072422"</f>
        <v>460025199909072422</v>
      </c>
    </row>
    <row r="6903" customFormat="1" spans="1:15">
      <c r="A6903">
        <v>8855</v>
      </c>
      <c r="B6903" t="s">
        <v>7106</v>
      </c>
      <c r="C6903" t="str">
        <f>"62020219901016064X"</f>
        <v>62020219901016064X</v>
      </c>
      <c r="L6903">
        <v>8855</v>
      </c>
      <c r="M6903" t="s">
        <v>7106</v>
      </c>
      <c r="O6903" t="str">
        <f>"62020219901016064X"</f>
        <v>62020219901016064X</v>
      </c>
    </row>
    <row r="6904" customFormat="1" spans="1:15">
      <c r="A6904">
        <v>8856</v>
      </c>
      <c r="B6904" t="s">
        <v>7107</v>
      </c>
      <c r="C6904" t="str">
        <f>"460028199408101626"</f>
        <v>460028199408101626</v>
      </c>
      <c r="L6904">
        <v>8856</v>
      </c>
      <c r="M6904" t="s">
        <v>7107</v>
      </c>
      <c r="O6904" t="str">
        <f>"460028199408101626"</f>
        <v>460028199408101626</v>
      </c>
    </row>
    <row r="6905" customFormat="1" spans="1:15">
      <c r="A6905">
        <v>8857</v>
      </c>
      <c r="B6905" t="s">
        <v>7108</v>
      </c>
      <c r="C6905" t="str">
        <f>"230206199903010211"</f>
        <v>230206199903010211</v>
      </c>
      <c r="L6905">
        <v>8857</v>
      </c>
      <c r="M6905" t="s">
        <v>7108</v>
      </c>
      <c r="O6905" t="str">
        <f>"230206199903010211"</f>
        <v>230206199903010211</v>
      </c>
    </row>
    <row r="6906" customFormat="1" spans="1:15">
      <c r="A6906">
        <v>8858</v>
      </c>
      <c r="B6906" t="s">
        <v>7109</v>
      </c>
      <c r="C6906" t="str">
        <f>"460030199309075129"</f>
        <v>460030199309075129</v>
      </c>
      <c r="L6906">
        <v>8858</v>
      </c>
      <c r="M6906" t="s">
        <v>7109</v>
      </c>
      <c r="O6906" t="str">
        <f>"460030199309075129"</f>
        <v>460030199309075129</v>
      </c>
    </row>
    <row r="6907" customFormat="1" spans="1:15">
      <c r="A6907">
        <v>8860</v>
      </c>
      <c r="B6907" t="s">
        <v>7110</v>
      </c>
      <c r="C6907" t="str">
        <f>"36012319990630002X"</f>
        <v>36012319990630002X</v>
      </c>
      <c r="D6907" t="str">
        <f>"248030403825"</f>
        <v>248030403825</v>
      </c>
      <c r="L6907">
        <v>8860</v>
      </c>
      <c r="M6907" t="s">
        <v>7110</v>
      </c>
      <c r="N6907" t="str">
        <f>"248030403825"</f>
        <v>248030403825</v>
      </c>
      <c r="O6907" t="str">
        <f>"36012319990630002X"</f>
        <v>36012319990630002X</v>
      </c>
    </row>
    <row r="6908" customFormat="1" spans="1:15">
      <c r="A6908">
        <v>8861</v>
      </c>
      <c r="B6908" t="s">
        <v>7111</v>
      </c>
      <c r="C6908" t="str">
        <f>"460003199710096621"</f>
        <v>460003199710096621</v>
      </c>
      <c r="L6908">
        <v>8861</v>
      </c>
      <c r="M6908" t="s">
        <v>7111</v>
      </c>
      <c r="O6908" t="str">
        <f>"460003199710096621"</f>
        <v>460003199710096621</v>
      </c>
    </row>
    <row r="6909" customFormat="1" spans="1:15">
      <c r="A6909">
        <v>8862</v>
      </c>
      <c r="B6909" t="s">
        <v>7112</v>
      </c>
      <c r="C6909" t="str">
        <f>"460102199807092722"</f>
        <v>460102199807092722</v>
      </c>
      <c r="D6909" t="str">
        <f>"248030403602"</f>
        <v>248030403602</v>
      </c>
      <c r="L6909">
        <v>8862</v>
      </c>
      <c r="M6909" t="s">
        <v>7112</v>
      </c>
      <c r="N6909" t="str">
        <f>"248030403602"</f>
        <v>248030403602</v>
      </c>
      <c r="O6909" t="str">
        <f>"460102199807092722"</f>
        <v>460102199807092722</v>
      </c>
    </row>
    <row r="6910" customFormat="1" spans="1:15">
      <c r="A6910">
        <v>8863</v>
      </c>
      <c r="B6910" t="s">
        <v>7113</v>
      </c>
      <c r="C6910" t="str">
        <f>"460028199001067227"</f>
        <v>460028199001067227</v>
      </c>
      <c r="D6910" t="str">
        <f>"248030404303"</f>
        <v>248030404303</v>
      </c>
      <c r="L6910">
        <v>8863</v>
      </c>
      <c r="M6910" t="s">
        <v>7113</v>
      </c>
      <c r="N6910" t="str">
        <f>"248030404303"</f>
        <v>248030404303</v>
      </c>
      <c r="O6910" t="str">
        <f>"460028199001067227"</f>
        <v>460028199001067227</v>
      </c>
    </row>
    <row r="6911" customFormat="1" spans="1:15">
      <c r="A6911">
        <v>8864</v>
      </c>
      <c r="B6911" t="s">
        <v>3115</v>
      </c>
      <c r="C6911" t="str">
        <f>"460027200211015926"</f>
        <v>460027200211015926</v>
      </c>
      <c r="D6911" t="str">
        <f>"248030502824"</f>
        <v>248030502824</v>
      </c>
      <c r="L6911">
        <v>8864</v>
      </c>
      <c r="M6911" t="s">
        <v>3115</v>
      </c>
      <c r="N6911" t="str">
        <f>"248030502824"</f>
        <v>248030502824</v>
      </c>
      <c r="O6911" t="str">
        <f>"460027200211015926"</f>
        <v>460027200211015926</v>
      </c>
    </row>
    <row r="6912" customFormat="1" spans="1:15">
      <c r="A6912">
        <v>8865</v>
      </c>
      <c r="B6912" t="s">
        <v>7114</v>
      </c>
      <c r="C6912" t="str">
        <f>"46000419860919144X"</f>
        <v>46000419860919144X</v>
      </c>
      <c r="D6912" t="str">
        <f>"248030500212"</f>
        <v>248030500212</v>
      </c>
      <c r="L6912">
        <v>8865</v>
      </c>
      <c r="M6912" t="s">
        <v>7114</v>
      </c>
      <c r="N6912" t="str">
        <f>"248030500212"</f>
        <v>248030500212</v>
      </c>
      <c r="O6912" t="str">
        <f>"46000419860919144X"</f>
        <v>46000419860919144X</v>
      </c>
    </row>
    <row r="6913" customFormat="1" spans="1:15">
      <c r="A6913">
        <v>8866</v>
      </c>
      <c r="B6913" t="s">
        <v>7115</v>
      </c>
      <c r="C6913" t="str">
        <f>"460031199908135249"</f>
        <v>460031199908135249</v>
      </c>
      <c r="L6913">
        <v>8866</v>
      </c>
      <c r="M6913" t="s">
        <v>7115</v>
      </c>
      <c r="O6913" t="str">
        <f>"460031199908135249"</f>
        <v>460031199908135249</v>
      </c>
    </row>
    <row r="6914" customFormat="1" spans="1:15">
      <c r="A6914">
        <v>8867</v>
      </c>
      <c r="B6914" t="s">
        <v>7116</v>
      </c>
      <c r="C6914" t="str">
        <f>"460007200101156167"</f>
        <v>460007200101156167</v>
      </c>
      <c r="D6914" t="str">
        <f>"248030103606"</f>
        <v>248030103606</v>
      </c>
      <c r="L6914">
        <v>8867</v>
      </c>
      <c r="M6914" t="s">
        <v>7116</v>
      </c>
      <c r="N6914" t="str">
        <f>"248030103606"</f>
        <v>248030103606</v>
      </c>
      <c r="O6914" t="str">
        <f>"460007200101156167"</f>
        <v>460007200101156167</v>
      </c>
    </row>
    <row r="6915" customFormat="1" spans="1:15">
      <c r="A6915">
        <v>8869</v>
      </c>
      <c r="B6915" t="s">
        <v>7117</v>
      </c>
      <c r="C6915" t="str">
        <f>"460004199911071443"</f>
        <v>460004199911071443</v>
      </c>
      <c r="D6915" t="str">
        <f>"248030403529"</f>
        <v>248030403529</v>
      </c>
      <c r="L6915">
        <v>8869</v>
      </c>
      <c r="M6915" t="s">
        <v>7117</v>
      </c>
      <c r="N6915" t="str">
        <f>"248030403529"</f>
        <v>248030403529</v>
      </c>
      <c r="O6915" t="str">
        <f>"460004199911071443"</f>
        <v>460004199911071443</v>
      </c>
    </row>
    <row r="6916" customFormat="1" spans="1:15">
      <c r="A6916">
        <v>8870</v>
      </c>
      <c r="B6916" t="s">
        <v>7118</v>
      </c>
      <c r="C6916" t="str">
        <f>"441426199908182246"</f>
        <v>441426199908182246</v>
      </c>
      <c r="D6916" t="str">
        <f>"248030504026"</f>
        <v>248030504026</v>
      </c>
      <c r="L6916">
        <v>8870</v>
      </c>
      <c r="M6916" t="s">
        <v>7118</v>
      </c>
      <c r="N6916" t="str">
        <f>"248030504026"</f>
        <v>248030504026</v>
      </c>
      <c r="O6916" t="str">
        <f>"441426199908182246"</f>
        <v>441426199908182246</v>
      </c>
    </row>
    <row r="6917" customFormat="1" spans="1:15">
      <c r="A6917">
        <v>8871</v>
      </c>
      <c r="B6917" t="s">
        <v>7119</v>
      </c>
      <c r="C6917" t="str">
        <f>"460033200205164703"</f>
        <v>460033200205164703</v>
      </c>
      <c r="D6917" t="str">
        <f>"248030302130"</f>
        <v>248030302130</v>
      </c>
      <c r="L6917">
        <v>8871</v>
      </c>
      <c r="M6917" t="s">
        <v>7119</v>
      </c>
      <c r="N6917" t="str">
        <f>"248030302130"</f>
        <v>248030302130</v>
      </c>
      <c r="O6917" t="str">
        <f>"460033200205164703"</f>
        <v>460033200205164703</v>
      </c>
    </row>
    <row r="6918" customFormat="1" spans="1:15">
      <c r="A6918">
        <v>8874</v>
      </c>
      <c r="B6918" t="s">
        <v>3203</v>
      </c>
      <c r="C6918" t="str">
        <f>"460007200209230023"</f>
        <v>460007200209230023</v>
      </c>
      <c r="D6918" t="str">
        <f>"248030102726"</f>
        <v>248030102726</v>
      </c>
      <c r="L6918">
        <v>8874</v>
      </c>
      <c r="M6918" t="s">
        <v>3203</v>
      </c>
      <c r="N6918" t="str">
        <f>"248030102726"</f>
        <v>248030102726</v>
      </c>
      <c r="O6918" t="str">
        <f>"460007200209230023"</f>
        <v>460007200209230023</v>
      </c>
    </row>
    <row r="6919" customFormat="1" spans="1:15">
      <c r="A6919">
        <v>8875</v>
      </c>
      <c r="B6919" t="s">
        <v>7120</v>
      </c>
      <c r="C6919" t="str">
        <f>"460006199704264827"</f>
        <v>460006199704264827</v>
      </c>
      <c r="D6919" t="str">
        <f>"248030100824"</f>
        <v>248030100824</v>
      </c>
      <c r="L6919">
        <v>8875</v>
      </c>
      <c r="M6919" t="s">
        <v>7120</v>
      </c>
      <c r="N6919" t="str">
        <f>"248030100824"</f>
        <v>248030100824</v>
      </c>
      <c r="O6919" t="str">
        <f>"460006199704264827"</f>
        <v>460006199704264827</v>
      </c>
    </row>
    <row r="6920" customFormat="1" spans="1:15">
      <c r="A6920">
        <v>8876</v>
      </c>
      <c r="B6920" t="s">
        <v>7121</v>
      </c>
      <c r="C6920" t="str">
        <f>"411381199006280828"</f>
        <v>411381199006280828</v>
      </c>
      <c r="D6920" t="str">
        <f>"248030501917"</f>
        <v>248030501917</v>
      </c>
      <c r="L6920">
        <v>8876</v>
      </c>
      <c r="M6920" t="s">
        <v>7121</v>
      </c>
      <c r="N6920" t="str">
        <f>"248030501917"</f>
        <v>248030501917</v>
      </c>
      <c r="O6920" t="str">
        <f>"411381199006280828"</f>
        <v>411381199006280828</v>
      </c>
    </row>
    <row r="6921" customFormat="1" spans="1:15">
      <c r="A6921">
        <v>8878</v>
      </c>
      <c r="B6921" t="s">
        <v>7122</v>
      </c>
      <c r="C6921" t="str">
        <f>"460007199509274380"</f>
        <v>460007199509274380</v>
      </c>
      <c r="D6921" t="str">
        <f>"248030403919"</f>
        <v>248030403919</v>
      </c>
      <c r="L6921">
        <v>8878</v>
      </c>
      <c r="M6921" t="s">
        <v>7122</v>
      </c>
      <c r="N6921" t="str">
        <f>"248030403919"</f>
        <v>248030403919</v>
      </c>
      <c r="O6921" t="str">
        <f>"460007199509274380"</f>
        <v>460007199509274380</v>
      </c>
    </row>
    <row r="6922" customFormat="1" spans="1:15">
      <c r="A6922">
        <v>8879</v>
      </c>
      <c r="B6922" t="s">
        <v>7123</v>
      </c>
      <c r="C6922" t="str">
        <f>"469027200303094789"</f>
        <v>469027200303094789</v>
      </c>
      <c r="D6922" t="str">
        <f>"248030300315"</f>
        <v>248030300315</v>
      </c>
      <c r="L6922">
        <v>8879</v>
      </c>
      <c r="M6922" t="s">
        <v>7123</v>
      </c>
      <c r="N6922" t="str">
        <f>"248030300315"</f>
        <v>248030300315</v>
      </c>
      <c r="O6922" t="str">
        <f>"469027200303094789"</f>
        <v>469027200303094789</v>
      </c>
    </row>
    <row r="6923" customFormat="1" spans="1:15">
      <c r="A6923">
        <v>8880</v>
      </c>
      <c r="B6923" t="s">
        <v>7124</v>
      </c>
      <c r="C6923" t="str">
        <f>"653130199804202424"</f>
        <v>653130199804202424</v>
      </c>
      <c r="L6923">
        <v>8880</v>
      </c>
      <c r="M6923" t="s">
        <v>7124</v>
      </c>
      <c r="O6923" t="str">
        <f>"653130199804202424"</f>
        <v>653130199804202424</v>
      </c>
    </row>
    <row r="6924" customFormat="1" spans="1:15">
      <c r="A6924">
        <v>8881</v>
      </c>
      <c r="B6924" t="s">
        <v>7125</v>
      </c>
      <c r="C6924" t="str">
        <f>"220106198807210027"</f>
        <v>220106198807210027</v>
      </c>
      <c r="D6924" t="str">
        <f>"248030401621"</f>
        <v>248030401621</v>
      </c>
      <c r="L6924">
        <v>8881</v>
      </c>
      <c r="M6924" t="s">
        <v>7125</v>
      </c>
      <c r="N6924" t="str">
        <f>"248030401621"</f>
        <v>248030401621</v>
      </c>
      <c r="O6924" t="str">
        <f>"220106198807210027"</f>
        <v>220106198807210027</v>
      </c>
    </row>
    <row r="6925" customFormat="1" spans="1:15">
      <c r="A6925">
        <v>8882</v>
      </c>
      <c r="B6925" t="s">
        <v>7126</v>
      </c>
      <c r="C6925" t="str">
        <f>"460006200301124825"</f>
        <v>460006200301124825</v>
      </c>
      <c r="D6925" t="str">
        <f>"248030502710"</f>
        <v>248030502710</v>
      </c>
      <c r="L6925">
        <v>8882</v>
      </c>
      <c r="M6925" t="s">
        <v>7126</v>
      </c>
      <c r="N6925" t="str">
        <f>"248030502710"</f>
        <v>248030502710</v>
      </c>
      <c r="O6925" t="str">
        <f>"460006200301124825"</f>
        <v>460006200301124825</v>
      </c>
    </row>
    <row r="6926" customFormat="1" spans="1:15">
      <c r="A6926">
        <v>8883</v>
      </c>
      <c r="B6926" t="s">
        <v>7127</v>
      </c>
      <c r="C6926" t="str">
        <f>"460103199807012725"</f>
        <v>460103199807012725</v>
      </c>
      <c r="D6926" t="str">
        <f>"248030300116"</f>
        <v>248030300116</v>
      </c>
      <c r="L6926">
        <v>8883</v>
      </c>
      <c r="M6926" t="s">
        <v>7127</v>
      </c>
      <c r="N6926" t="str">
        <f>"248030300116"</f>
        <v>248030300116</v>
      </c>
      <c r="O6926" t="str">
        <f>"460103199807012725"</f>
        <v>460103199807012725</v>
      </c>
    </row>
    <row r="6927" customFormat="1" spans="1:15">
      <c r="A6927">
        <v>8885</v>
      </c>
      <c r="B6927" t="s">
        <v>7128</v>
      </c>
      <c r="C6927" t="str">
        <f>"460003198809102142"</f>
        <v>460003198809102142</v>
      </c>
      <c r="D6927" t="str">
        <f>"248030400308"</f>
        <v>248030400308</v>
      </c>
      <c r="L6927">
        <v>8885</v>
      </c>
      <c r="M6927" t="s">
        <v>7128</v>
      </c>
      <c r="N6927" t="str">
        <f>"248030400308"</f>
        <v>248030400308</v>
      </c>
      <c r="O6927" t="str">
        <f>"460003198809102142"</f>
        <v>460003198809102142</v>
      </c>
    </row>
    <row r="6928" customFormat="1" spans="1:15">
      <c r="A6928">
        <v>8886</v>
      </c>
      <c r="B6928" t="s">
        <v>7129</v>
      </c>
      <c r="C6928" t="str">
        <f>"460028200011110423"</f>
        <v>460028200011110423</v>
      </c>
      <c r="L6928">
        <v>8886</v>
      </c>
      <c r="M6928" t="s">
        <v>7129</v>
      </c>
      <c r="O6928" t="str">
        <f>"460028200011110423"</f>
        <v>460028200011110423</v>
      </c>
    </row>
    <row r="6929" customFormat="1" spans="1:15">
      <c r="A6929">
        <v>8890</v>
      </c>
      <c r="B6929" t="s">
        <v>7130</v>
      </c>
      <c r="C6929" t="str">
        <f>"460004199903125229"</f>
        <v>460004199903125229</v>
      </c>
      <c r="D6929" t="str">
        <f>"248030102317"</f>
        <v>248030102317</v>
      </c>
      <c r="L6929">
        <v>8890</v>
      </c>
      <c r="M6929" t="s">
        <v>7130</v>
      </c>
      <c r="N6929" t="str">
        <f>"248030102317"</f>
        <v>248030102317</v>
      </c>
      <c r="O6929" t="str">
        <f>"460004199903125229"</f>
        <v>460004199903125229</v>
      </c>
    </row>
    <row r="6930" customFormat="1" spans="1:15">
      <c r="A6930">
        <v>8891</v>
      </c>
      <c r="B6930" t="s">
        <v>7131</v>
      </c>
      <c r="C6930" t="str">
        <f>"460004199612050028"</f>
        <v>460004199612050028</v>
      </c>
      <c r="D6930" t="str">
        <f>"248030401527"</f>
        <v>248030401527</v>
      </c>
      <c r="L6930">
        <v>8891</v>
      </c>
      <c r="M6930" t="s">
        <v>7131</v>
      </c>
      <c r="N6930" t="str">
        <f>"248030401527"</f>
        <v>248030401527</v>
      </c>
      <c r="O6930" t="str">
        <f>"460004199612050028"</f>
        <v>460004199612050028</v>
      </c>
    </row>
    <row r="6931" customFormat="1" spans="1:15">
      <c r="A6931">
        <v>8893</v>
      </c>
      <c r="B6931" t="s">
        <v>7132</v>
      </c>
      <c r="C6931" t="str">
        <f>"46000619851019722X"</f>
        <v>46000619851019722X</v>
      </c>
      <c r="L6931">
        <v>8893</v>
      </c>
      <c r="M6931" t="s">
        <v>7132</v>
      </c>
      <c r="O6931" t="str">
        <f>"46000619851019722X"</f>
        <v>46000619851019722X</v>
      </c>
    </row>
    <row r="6932" customFormat="1" spans="1:15">
      <c r="A6932">
        <v>8894</v>
      </c>
      <c r="B6932" t="s">
        <v>7133</v>
      </c>
      <c r="C6932" t="str">
        <f>"460007199201164978"</f>
        <v>460007199201164978</v>
      </c>
      <c r="L6932">
        <v>8894</v>
      </c>
      <c r="M6932" t="s">
        <v>7133</v>
      </c>
      <c r="O6932" t="str">
        <f>"460007199201164978"</f>
        <v>460007199201164978</v>
      </c>
    </row>
    <row r="6933" customFormat="1" spans="1:15">
      <c r="A6933">
        <v>8895</v>
      </c>
      <c r="B6933" t="s">
        <v>7134</v>
      </c>
      <c r="C6933" t="str">
        <f>"460006199809118113"</f>
        <v>460006199809118113</v>
      </c>
      <c r="D6933" t="str">
        <f>"248030202126"</f>
        <v>248030202126</v>
      </c>
      <c r="L6933">
        <v>8895</v>
      </c>
      <c r="M6933" t="s">
        <v>7134</v>
      </c>
      <c r="N6933" t="str">
        <f>"248030202126"</f>
        <v>248030202126</v>
      </c>
      <c r="O6933" t="str">
        <f>"460006199809118113"</f>
        <v>460006199809118113</v>
      </c>
    </row>
    <row r="6934" customFormat="1" spans="1:15">
      <c r="A6934">
        <v>8896</v>
      </c>
      <c r="B6934" t="s">
        <v>7135</v>
      </c>
      <c r="C6934" t="str">
        <f>"460002199909101225"</f>
        <v>460002199909101225</v>
      </c>
      <c r="D6934" t="str">
        <f>"248030401908"</f>
        <v>248030401908</v>
      </c>
      <c r="L6934">
        <v>8896</v>
      </c>
      <c r="M6934" t="s">
        <v>7135</v>
      </c>
      <c r="N6934" t="str">
        <f>"248030401908"</f>
        <v>248030401908</v>
      </c>
      <c r="O6934" t="str">
        <f>"460002199909101225"</f>
        <v>460002199909101225</v>
      </c>
    </row>
    <row r="6935" customFormat="1" spans="1:15">
      <c r="A6935">
        <v>8897</v>
      </c>
      <c r="B6935" t="s">
        <v>7136</v>
      </c>
      <c r="C6935" t="str">
        <f>"430223200305202925"</f>
        <v>430223200305202925</v>
      </c>
      <c r="D6935" t="str">
        <f>"248030101223"</f>
        <v>248030101223</v>
      </c>
      <c r="L6935">
        <v>8897</v>
      </c>
      <c r="M6935" t="s">
        <v>7136</v>
      </c>
      <c r="N6935" t="str">
        <f>"248030101223"</f>
        <v>248030101223</v>
      </c>
      <c r="O6935" t="str">
        <f>"430223200305202925"</f>
        <v>430223200305202925</v>
      </c>
    </row>
    <row r="6936" customFormat="1" spans="1:15">
      <c r="A6936">
        <v>8898</v>
      </c>
      <c r="B6936" t="s">
        <v>7137</v>
      </c>
      <c r="C6936" t="str">
        <f>"460028199310031623"</f>
        <v>460028199310031623</v>
      </c>
      <c r="D6936" t="str">
        <f>"248030501517"</f>
        <v>248030501517</v>
      </c>
      <c r="L6936">
        <v>8898</v>
      </c>
      <c r="M6936" t="s">
        <v>7137</v>
      </c>
      <c r="N6936" t="str">
        <f>"248030501517"</f>
        <v>248030501517</v>
      </c>
      <c r="O6936" t="str">
        <f>"460028199310031623"</f>
        <v>460028199310031623</v>
      </c>
    </row>
    <row r="6937" customFormat="1" spans="1:15">
      <c r="A6937">
        <v>8899</v>
      </c>
      <c r="B6937" t="s">
        <v>7138</v>
      </c>
      <c r="C6937" t="str">
        <f>"460102198405040925"</f>
        <v>460102198405040925</v>
      </c>
      <c r="D6937" t="str">
        <f>"248030502529"</f>
        <v>248030502529</v>
      </c>
      <c r="L6937">
        <v>8899</v>
      </c>
      <c r="M6937" t="s">
        <v>7138</v>
      </c>
      <c r="N6937" t="str">
        <f>"248030502529"</f>
        <v>248030502529</v>
      </c>
      <c r="O6937" t="str">
        <f>"460102198405040925"</f>
        <v>460102198405040925</v>
      </c>
    </row>
    <row r="6938" customFormat="1" spans="1:15">
      <c r="A6938">
        <v>8900</v>
      </c>
      <c r="B6938" t="s">
        <v>7139</v>
      </c>
      <c r="C6938" t="str">
        <f>"632124200011025361"</f>
        <v>632124200011025361</v>
      </c>
      <c r="L6938">
        <v>8900</v>
      </c>
      <c r="M6938" t="s">
        <v>7139</v>
      </c>
      <c r="O6938" t="str">
        <f>"632124200011025361"</f>
        <v>632124200011025361</v>
      </c>
    </row>
    <row r="6939" customFormat="1" spans="1:15">
      <c r="A6939">
        <v>8901</v>
      </c>
      <c r="B6939" t="s">
        <v>7140</v>
      </c>
      <c r="C6939" t="str">
        <f>"469003200004276725"</f>
        <v>469003200004276725</v>
      </c>
      <c r="L6939">
        <v>8901</v>
      </c>
      <c r="M6939" t="s">
        <v>7140</v>
      </c>
      <c r="O6939" t="str">
        <f>"469003200004276725"</f>
        <v>469003200004276725</v>
      </c>
    </row>
    <row r="6940" customFormat="1" spans="1:15">
      <c r="A6940">
        <v>8902</v>
      </c>
      <c r="B6940" t="s">
        <v>7141</v>
      </c>
      <c r="C6940" t="str">
        <f>"460027200111211719"</f>
        <v>460027200111211719</v>
      </c>
      <c r="L6940">
        <v>8902</v>
      </c>
      <c r="M6940" t="s">
        <v>7141</v>
      </c>
      <c r="O6940" t="str">
        <f>"460027200111211719"</f>
        <v>460027200111211719</v>
      </c>
    </row>
    <row r="6941" customFormat="1" spans="1:15">
      <c r="A6941">
        <v>8904</v>
      </c>
      <c r="B6941" t="s">
        <v>7142</v>
      </c>
      <c r="C6941" t="str">
        <f>"460006199803102727"</f>
        <v>460006199803102727</v>
      </c>
      <c r="L6941">
        <v>8904</v>
      </c>
      <c r="M6941" t="s">
        <v>7142</v>
      </c>
      <c r="O6941" t="str">
        <f>"460006199803102727"</f>
        <v>460006199803102727</v>
      </c>
    </row>
    <row r="6942" customFormat="1" spans="1:15">
      <c r="A6942">
        <v>8908</v>
      </c>
      <c r="B6942" t="s">
        <v>7143</v>
      </c>
      <c r="C6942" t="str">
        <f>"460007199610075861"</f>
        <v>460007199610075861</v>
      </c>
      <c r="D6942" t="str">
        <f>"248030302702"</f>
        <v>248030302702</v>
      </c>
      <c r="L6942">
        <v>8908</v>
      </c>
      <c r="M6942" t="s">
        <v>7143</v>
      </c>
      <c r="N6942" t="str">
        <f>"248030302702"</f>
        <v>248030302702</v>
      </c>
      <c r="O6942" t="str">
        <f>"460007199610075861"</f>
        <v>460007199610075861</v>
      </c>
    </row>
    <row r="6943" customFormat="1" spans="1:15">
      <c r="A6943">
        <v>8909</v>
      </c>
      <c r="B6943" t="s">
        <v>7144</v>
      </c>
      <c r="C6943" t="str">
        <f>"460005200202215119"</f>
        <v>460005200202215119</v>
      </c>
      <c r="D6943" t="str">
        <f>"248030202112"</f>
        <v>248030202112</v>
      </c>
      <c r="L6943">
        <v>8909</v>
      </c>
      <c r="M6943" t="s">
        <v>7144</v>
      </c>
      <c r="N6943" t="str">
        <f>"248030202112"</f>
        <v>248030202112</v>
      </c>
      <c r="O6943" t="str">
        <f>"460005200202215119"</f>
        <v>460005200202215119</v>
      </c>
    </row>
    <row r="6944" customFormat="1" spans="1:15">
      <c r="A6944">
        <v>8913</v>
      </c>
      <c r="B6944" t="s">
        <v>7145</v>
      </c>
      <c r="C6944" t="str">
        <f>"440883200010173929"</f>
        <v>440883200010173929</v>
      </c>
      <c r="D6944" t="str">
        <f>"248030402023"</f>
        <v>248030402023</v>
      </c>
      <c r="L6944">
        <v>8913</v>
      </c>
      <c r="M6944" t="s">
        <v>7145</v>
      </c>
      <c r="N6944" t="str">
        <f>"248030402023"</f>
        <v>248030402023</v>
      </c>
      <c r="O6944" t="str">
        <f>"440883200010173929"</f>
        <v>440883200010173929</v>
      </c>
    </row>
    <row r="6945" customFormat="1" spans="1:15">
      <c r="A6945">
        <v>8915</v>
      </c>
      <c r="B6945" t="s">
        <v>7146</v>
      </c>
      <c r="C6945" t="str">
        <f>"460006200003188716"</f>
        <v>460006200003188716</v>
      </c>
      <c r="L6945">
        <v>8915</v>
      </c>
      <c r="M6945" t="s">
        <v>7146</v>
      </c>
      <c r="O6945" t="str">
        <f>"460006200003188716"</f>
        <v>460006200003188716</v>
      </c>
    </row>
    <row r="6946" customFormat="1" spans="1:15">
      <c r="A6946">
        <v>8917</v>
      </c>
      <c r="B6946" t="s">
        <v>7147</v>
      </c>
      <c r="C6946" t="str">
        <f>"46900720021004084X"</f>
        <v>46900720021004084X</v>
      </c>
      <c r="D6946" t="str">
        <f>"248030402914"</f>
        <v>248030402914</v>
      </c>
      <c r="L6946">
        <v>8917</v>
      </c>
      <c r="M6946" t="s">
        <v>7147</v>
      </c>
      <c r="N6946" t="str">
        <f>"248030402914"</f>
        <v>248030402914</v>
      </c>
      <c r="O6946" t="str">
        <f>"46900720021004084X"</f>
        <v>46900720021004084X</v>
      </c>
    </row>
    <row r="6947" customFormat="1" spans="1:15">
      <c r="A6947">
        <v>8919</v>
      </c>
      <c r="B6947" t="s">
        <v>7148</v>
      </c>
      <c r="C6947" t="str">
        <f>"460003199602112823"</f>
        <v>460003199602112823</v>
      </c>
      <c r="D6947" t="str">
        <f>"248030401529"</f>
        <v>248030401529</v>
      </c>
      <c r="L6947">
        <v>8919</v>
      </c>
      <c r="M6947" t="s">
        <v>7148</v>
      </c>
      <c r="N6947" t="str">
        <f>"248030401529"</f>
        <v>248030401529</v>
      </c>
      <c r="O6947" t="str">
        <f>"460003199602112823"</f>
        <v>460003199602112823</v>
      </c>
    </row>
    <row r="6948" customFormat="1" spans="1:15">
      <c r="A6948">
        <v>8920</v>
      </c>
      <c r="B6948" t="s">
        <v>7149</v>
      </c>
      <c r="C6948" t="str">
        <f>"410482199005231769"</f>
        <v>410482199005231769</v>
      </c>
      <c r="L6948">
        <v>8920</v>
      </c>
      <c r="M6948" t="s">
        <v>7149</v>
      </c>
      <c r="O6948" t="str">
        <f>"410482199005231769"</f>
        <v>410482199005231769</v>
      </c>
    </row>
    <row r="6949" customFormat="1" spans="1:15">
      <c r="A6949">
        <v>8922</v>
      </c>
      <c r="B6949" t="s">
        <v>7150</v>
      </c>
      <c r="C6949" t="str">
        <f>"469024200101130041"</f>
        <v>469024200101130041</v>
      </c>
      <c r="D6949" t="str">
        <f>"248030502906"</f>
        <v>248030502906</v>
      </c>
      <c r="L6949">
        <v>8922</v>
      </c>
      <c r="M6949" t="s">
        <v>7150</v>
      </c>
      <c r="N6949" t="str">
        <f>"248030502906"</f>
        <v>248030502906</v>
      </c>
      <c r="O6949" t="str">
        <f>"469024200101130041"</f>
        <v>469024200101130041</v>
      </c>
    </row>
    <row r="6950" customFormat="1" spans="1:15">
      <c r="A6950">
        <v>8925</v>
      </c>
      <c r="B6950" t="s">
        <v>7151</v>
      </c>
      <c r="C6950" t="str">
        <f>"432522199909100707"</f>
        <v>432522199909100707</v>
      </c>
      <c r="L6950">
        <v>8925</v>
      </c>
      <c r="M6950" t="s">
        <v>7151</v>
      </c>
      <c r="O6950" t="str">
        <f>"432522199909100707"</f>
        <v>432522199909100707</v>
      </c>
    </row>
    <row r="6951" customFormat="1" spans="1:15">
      <c r="A6951">
        <v>8926</v>
      </c>
      <c r="B6951" t="s">
        <v>7152</v>
      </c>
      <c r="C6951" t="str">
        <f>"46902320011212592X"</f>
        <v>46902320011212592X</v>
      </c>
      <c r="D6951" t="str">
        <f>"248030200911"</f>
        <v>248030200911</v>
      </c>
      <c r="L6951">
        <v>8926</v>
      </c>
      <c r="M6951" t="s">
        <v>7152</v>
      </c>
      <c r="N6951" t="str">
        <f>"248030200911"</f>
        <v>248030200911</v>
      </c>
      <c r="O6951" t="str">
        <f>"46902320011212592X"</f>
        <v>46902320011212592X</v>
      </c>
    </row>
    <row r="6952" customFormat="1" spans="1:15">
      <c r="A6952">
        <v>8927</v>
      </c>
      <c r="B6952" t="s">
        <v>7153</v>
      </c>
      <c r="C6952" t="str">
        <f>"460033199104023260"</f>
        <v>460033199104023260</v>
      </c>
      <c r="D6952" t="str">
        <f>"248030103919"</f>
        <v>248030103919</v>
      </c>
      <c r="L6952">
        <v>8927</v>
      </c>
      <c r="M6952" t="s">
        <v>7153</v>
      </c>
      <c r="N6952" t="str">
        <f>"248030103919"</f>
        <v>248030103919</v>
      </c>
      <c r="O6952" t="str">
        <f>"460033199104023260"</f>
        <v>460033199104023260</v>
      </c>
    </row>
    <row r="6953" customFormat="1" spans="1:15">
      <c r="A6953">
        <v>8928</v>
      </c>
      <c r="B6953" t="s">
        <v>2977</v>
      </c>
      <c r="C6953" t="str">
        <f>"460030200005065429"</f>
        <v>460030200005065429</v>
      </c>
      <c r="D6953" t="str">
        <f>"248030502901"</f>
        <v>248030502901</v>
      </c>
      <c r="L6953">
        <v>8928</v>
      </c>
      <c r="M6953" t="s">
        <v>2977</v>
      </c>
      <c r="N6953" t="str">
        <f>"248030502901"</f>
        <v>248030502901</v>
      </c>
      <c r="O6953" t="str">
        <f>"460030200005065429"</f>
        <v>460030200005065429</v>
      </c>
    </row>
    <row r="6954" customFormat="1" spans="1:15">
      <c r="A6954">
        <v>8929</v>
      </c>
      <c r="B6954" t="s">
        <v>7154</v>
      </c>
      <c r="C6954" t="str">
        <f>"430405199301183037"</f>
        <v>430405199301183037</v>
      </c>
      <c r="L6954">
        <v>8929</v>
      </c>
      <c r="M6954" t="s">
        <v>7154</v>
      </c>
      <c r="O6954" t="str">
        <f>"430405199301183037"</f>
        <v>430405199301183037</v>
      </c>
    </row>
    <row r="6955" customFormat="1" spans="1:15">
      <c r="A6955">
        <v>8930</v>
      </c>
      <c r="B6955" t="s">
        <v>1174</v>
      </c>
      <c r="C6955" t="str">
        <f>"460103199207240927"</f>
        <v>460103199207240927</v>
      </c>
      <c r="D6955" t="str">
        <f>"248030103820"</f>
        <v>248030103820</v>
      </c>
      <c r="L6955">
        <v>8930</v>
      </c>
      <c r="M6955" t="s">
        <v>1174</v>
      </c>
      <c r="N6955" t="str">
        <f>"248030103820"</f>
        <v>248030103820</v>
      </c>
      <c r="O6955" t="str">
        <f>"460103199207240927"</f>
        <v>460103199207240927</v>
      </c>
    </row>
    <row r="6956" customFormat="1" spans="1:15">
      <c r="A6956">
        <v>8931</v>
      </c>
      <c r="B6956" t="s">
        <v>7155</v>
      </c>
      <c r="C6956" t="str">
        <f>"460028200101180425"</f>
        <v>460028200101180425</v>
      </c>
      <c r="L6956">
        <v>8931</v>
      </c>
      <c r="M6956" t="s">
        <v>7155</v>
      </c>
      <c r="O6956" t="str">
        <f>"460028200101180425"</f>
        <v>460028200101180425</v>
      </c>
    </row>
    <row r="6957" customFormat="1" spans="1:15">
      <c r="A6957">
        <v>8933</v>
      </c>
      <c r="B6957" t="s">
        <v>7156</v>
      </c>
      <c r="C6957" t="str">
        <f>"230302200002165318"</f>
        <v>230302200002165318</v>
      </c>
      <c r="L6957">
        <v>8933</v>
      </c>
      <c r="M6957" t="s">
        <v>7156</v>
      </c>
      <c r="O6957" t="str">
        <f>"230302200002165318"</f>
        <v>230302200002165318</v>
      </c>
    </row>
    <row r="6958" customFormat="1" spans="1:15">
      <c r="A6958">
        <v>8934</v>
      </c>
      <c r="B6958" t="s">
        <v>7157</v>
      </c>
      <c r="C6958" t="str">
        <f>"460033199804224776"</f>
        <v>460033199804224776</v>
      </c>
      <c r="D6958" t="str">
        <f>"248030101508"</f>
        <v>248030101508</v>
      </c>
      <c r="L6958">
        <v>8934</v>
      </c>
      <c r="M6958" t="s">
        <v>7157</v>
      </c>
      <c r="N6958" t="str">
        <f>"248030101508"</f>
        <v>248030101508</v>
      </c>
      <c r="O6958" t="str">
        <f>"460033199804224776"</f>
        <v>460033199804224776</v>
      </c>
    </row>
    <row r="6959" customFormat="1" spans="1:15">
      <c r="A6959">
        <v>8935</v>
      </c>
      <c r="B6959" t="s">
        <v>7158</v>
      </c>
      <c r="C6959" t="str">
        <f>"460002199711204616"</f>
        <v>460002199711204616</v>
      </c>
      <c r="D6959" t="str">
        <f>"248030104710"</f>
        <v>248030104710</v>
      </c>
      <c r="L6959">
        <v>8935</v>
      </c>
      <c r="M6959" t="s">
        <v>7158</v>
      </c>
      <c r="N6959" t="str">
        <f>"248030104710"</f>
        <v>248030104710</v>
      </c>
      <c r="O6959" t="str">
        <f>"460002199711204616"</f>
        <v>460002199711204616</v>
      </c>
    </row>
    <row r="6960" customFormat="1" spans="1:15">
      <c r="A6960">
        <v>8936</v>
      </c>
      <c r="B6960" t="s">
        <v>7159</v>
      </c>
      <c r="C6960" t="str">
        <f>"622226199904070523"</f>
        <v>622226199904070523</v>
      </c>
      <c r="L6960">
        <v>8936</v>
      </c>
      <c r="M6960" t="s">
        <v>7159</v>
      </c>
      <c r="O6960" t="str">
        <f>"622226199904070523"</f>
        <v>622226199904070523</v>
      </c>
    </row>
    <row r="6961" customFormat="1" spans="1:15">
      <c r="A6961">
        <v>8937</v>
      </c>
      <c r="B6961" t="s">
        <v>7160</v>
      </c>
      <c r="C6961" t="str">
        <f>"46010219971204332X"</f>
        <v>46010219971204332X</v>
      </c>
      <c r="D6961" t="str">
        <f>"248030104727"</f>
        <v>248030104727</v>
      </c>
      <c r="L6961">
        <v>8937</v>
      </c>
      <c r="M6961" t="s">
        <v>7160</v>
      </c>
      <c r="N6961" t="str">
        <f>"248030104727"</f>
        <v>248030104727</v>
      </c>
      <c r="O6961" t="str">
        <f>"46010219971204332X"</f>
        <v>46010219971204332X</v>
      </c>
    </row>
    <row r="6962" customFormat="1" spans="1:15">
      <c r="A6962">
        <v>8938</v>
      </c>
      <c r="B6962" t="s">
        <v>7161</v>
      </c>
      <c r="C6962" t="str">
        <f>"460103199901220336"</f>
        <v>460103199901220336</v>
      </c>
      <c r="D6962" t="str">
        <f>"248030104711"</f>
        <v>248030104711</v>
      </c>
      <c r="L6962">
        <v>8938</v>
      </c>
      <c r="M6962" t="s">
        <v>7161</v>
      </c>
      <c r="N6962" t="str">
        <f>"248030104711"</f>
        <v>248030104711</v>
      </c>
      <c r="O6962" t="str">
        <f>"460103199901220336"</f>
        <v>460103199901220336</v>
      </c>
    </row>
    <row r="6963" customFormat="1" spans="1:15">
      <c r="A6963">
        <v>8941</v>
      </c>
      <c r="B6963" t="s">
        <v>7162</v>
      </c>
      <c r="C6963" t="str">
        <f>"420602199807101529"</f>
        <v>420602199807101529</v>
      </c>
      <c r="L6963">
        <v>8941</v>
      </c>
      <c r="M6963" t="s">
        <v>7162</v>
      </c>
      <c r="O6963" t="str">
        <f>"420602199807101529"</f>
        <v>420602199807101529</v>
      </c>
    </row>
    <row r="6964" customFormat="1" spans="1:15">
      <c r="A6964">
        <v>8942</v>
      </c>
      <c r="B6964" t="s">
        <v>7163</v>
      </c>
      <c r="C6964" t="str">
        <f>"460003199811296622"</f>
        <v>460003199811296622</v>
      </c>
      <c r="D6964" t="str">
        <f>"248030502001"</f>
        <v>248030502001</v>
      </c>
      <c r="L6964">
        <v>8942</v>
      </c>
      <c r="M6964" t="s">
        <v>7163</v>
      </c>
      <c r="N6964" t="str">
        <f>"248030502001"</f>
        <v>248030502001</v>
      </c>
      <c r="O6964" t="str">
        <f>"460003199811296622"</f>
        <v>460003199811296622</v>
      </c>
    </row>
    <row r="6965" customFormat="1" spans="1:15">
      <c r="A6965">
        <v>8943</v>
      </c>
      <c r="B6965" t="s">
        <v>7164</v>
      </c>
      <c r="C6965" t="str">
        <f>"460025199807171243"</f>
        <v>460025199807171243</v>
      </c>
      <c r="D6965" t="str">
        <f>"248030201813"</f>
        <v>248030201813</v>
      </c>
      <c r="L6965">
        <v>8943</v>
      </c>
      <c r="M6965" t="s">
        <v>7164</v>
      </c>
      <c r="N6965" t="str">
        <f>"248030201813"</f>
        <v>248030201813</v>
      </c>
      <c r="O6965" t="str">
        <f>"460025199807171243"</f>
        <v>460025199807171243</v>
      </c>
    </row>
    <row r="6966" customFormat="1" spans="1:15">
      <c r="A6966">
        <v>8946</v>
      </c>
      <c r="B6966" t="s">
        <v>7165</v>
      </c>
      <c r="C6966" t="str">
        <f>"460033199001203269"</f>
        <v>460033199001203269</v>
      </c>
      <c r="L6966">
        <v>8946</v>
      </c>
      <c r="M6966" t="s">
        <v>7165</v>
      </c>
      <c r="O6966" t="str">
        <f>"460033199001203269"</f>
        <v>460033199001203269</v>
      </c>
    </row>
    <row r="6967" customFormat="1" spans="1:15">
      <c r="A6967">
        <v>8947</v>
      </c>
      <c r="B6967" t="s">
        <v>7166</v>
      </c>
      <c r="C6967" t="str">
        <f>"460108200205091718"</f>
        <v>460108200205091718</v>
      </c>
      <c r="D6967" t="str">
        <f>"248030402622"</f>
        <v>248030402622</v>
      </c>
      <c r="L6967">
        <v>8947</v>
      </c>
      <c r="M6967" t="s">
        <v>7166</v>
      </c>
      <c r="N6967" t="str">
        <f>"248030402622"</f>
        <v>248030402622</v>
      </c>
      <c r="O6967" t="str">
        <f>"460108200205091718"</f>
        <v>460108200205091718</v>
      </c>
    </row>
    <row r="6968" customFormat="1" spans="1:15">
      <c r="A6968">
        <v>8948</v>
      </c>
      <c r="B6968" t="s">
        <v>7167</v>
      </c>
      <c r="C6968" t="str">
        <f>"460108200201312624"</f>
        <v>460108200201312624</v>
      </c>
      <c r="D6968" t="str">
        <f>"248030103328"</f>
        <v>248030103328</v>
      </c>
      <c r="L6968">
        <v>8948</v>
      </c>
      <c r="M6968" t="s">
        <v>7167</v>
      </c>
      <c r="N6968" t="str">
        <f>"248030103328"</f>
        <v>248030103328</v>
      </c>
      <c r="O6968" t="str">
        <f>"460108200201312624"</f>
        <v>460108200201312624</v>
      </c>
    </row>
    <row r="6969" customFormat="1" spans="1:15">
      <c r="A6969">
        <v>8950</v>
      </c>
      <c r="B6969" t="s">
        <v>7168</v>
      </c>
      <c r="C6969" t="str">
        <f>"460028199904272029"</f>
        <v>460028199904272029</v>
      </c>
      <c r="D6969" t="str">
        <f>"248030500321"</f>
        <v>248030500321</v>
      </c>
      <c r="L6969">
        <v>8950</v>
      </c>
      <c r="M6969" t="s">
        <v>7168</v>
      </c>
      <c r="N6969" t="str">
        <f>"248030500321"</f>
        <v>248030500321</v>
      </c>
      <c r="O6969" t="str">
        <f>"460028199904272029"</f>
        <v>460028199904272029</v>
      </c>
    </row>
    <row r="6970" customFormat="1" spans="1:15">
      <c r="A6970">
        <v>8953</v>
      </c>
      <c r="B6970" t="s">
        <v>7169</v>
      </c>
      <c r="C6970" t="str">
        <f>"460006199503111621"</f>
        <v>460006199503111621</v>
      </c>
      <c r="D6970" t="str">
        <f>"248030503807"</f>
        <v>248030503807</v>
      </c>
      <c r="L6970">
        <v>8953</v>
      </c>
      <c r="M6970" t="s">
        <v>7169</v>
      </c>
      <c r="N6970" t="str">
        <f>"248030503807"</f>
        <v>248030503807</v>
      </c>
      <c r="O6970" t="str">
        <f>"460006199503111621"</f>
        <v>460006199503111621</v>
      </c>
    </row>
    <row r="6971" customFormat="1" spans="1:15">
      <c r="A6971">
        <v>8954</v>
      </c>
      <c r="B6971" t="s">
        <v>7170</v>
      </c>
      <c r="C6971" t="str">
        <f>"420682200203281028"</f>
        <v>420682200203281028</v>
      </c>
      <c r="D6971" t="str">
        <f>"248030502715"</f>
        <v>248030502715</v>
      </c>
      <c r="L6971">
        <v>8954</v>
      </c>
      <c r="M6971" t="s">
        <v>7170</v>
      </c>
      <c r="N6971" t="str">
        <f>"248030502715"</f>
        <v>248030502715</v>
      </c>
      <c r="O6971" t="str">
        <f>"420682200203281028"</f>
        <v>420682200203281028</v>
      </c>
    </row>
    <row r="6972" customFormat="1" spans="1:15">
      <c r="A6972">
        <v>8955</v>
      </c>
      <c r="B6972" t="s">
        <v>7171</v>
      </c>
      <c r="C6972" t="str">
        <f>"460006200203010023"</f>
        <v>460006200203010023</v>
      </c>
      <c r="D6972" t="str">
        <f>"248030102221"</f>
        <v>248030102221</v>
      </c>
      <c r="L6972">
        <v>8955</v>
      </c>
      <c r="M6972" t="s">
        <v>7171</v>
      </c>
      <c r="N6972" t="str">
        <f>"248030102221"</f>
        <v>248030102221</v>
      </c>
      <c r="O6972" t="str">
        <f>"460006200203010023"</f>
        <v>460006200203010023</v>
      </c>
    </row>
    <row r="6973" customFormat="1" spans="1:15">
      <c r="A6973">
        <v>8957</v>
      </c>
      <c r="B6973" t="s">
        <v>7172</v>
      </c>
      <c r="C6973" t="str">
        <f>"412725199202149124"</f>
        <v>412725199202149124</v>
      </c>
      <c r="D6973" t="str">
        <f>"248030400111"</f>
        <v>248030400111</v>
      </c>
      <c r="L6973">
        <v>8957</v>
      </c>
      <c r="M6973" t="s">
        <v>7172</v>
      </c>
      <c r="N6973" t="str">
        <f>"248030400111"</f>
        <v>248030400111</v>
      </c>
      <c r="O6973" t="str">
        <f>"412725199202149124"</f>
        <v>412725199202149124</v>
      </c>
    </row>
    <row r="6974" customFormat="1" spans="1:15">
      <c r="A6974">
        <v>8958</v>
      </c>
      <c r="B6974" t="s">
        <v>7173</v>
      </c>
      <c r="C6974" t="str">
        <f>"460103199607203025"</f>
        <v>460103199607203025</v>
      </c>
      <c r="D6974" t="str">
        <f>"248030100714"</f>
        <v>248030100714</v>
      </c>
      <c r="L6974">
        <v>8958</v>
      </c>
      <c r="M6974" t="s">
        <v>7173</v>
      </c>
      <c r="N6974" t="str">
        <f>"248030100714"</f>
        <v>248030100714</v>
      </c>
      <c r="O6974" t="str">
        <f>"460103199607203025"</f>
        <v>460103199607203025</v>
      </c>
    </row>
    <row r="6975" customFormat="1" spans="1:15">
      <c r="A6975">
        <v>8959</v>
      </c>
      <c r="B6975" t="s">
        <v>7174</v>
      </c>
      <c r="C6975" t="str">
        <f>"610502199705225029"</f>
        <v>610502199705225029</v>
      </c>
      <c r="D6975" t="str">
        <f>"248030103415"</f>
        <v>248030103415</v>
      </c>
      <c r="L6975">
        <v>8959</v>
      </c>
      <c r="M6975" t="s">
        <v>7174</v>
      </c>
      <c r="N6975" t="str">
        <f>"248030103415"</f>
        <v>248030103415</v>
      </c>
      <c r="O6975" t="str">
        <f>"610502199705225029"</f>
        <v>610502199705225029</v>
      </c>
    </row>
    <row r="6976" customFormat="1" spans="1:15">
      <c r="A6976">
        <v>8960</v>
      </c>
      <c r="B6976" t="s">
        <v>7175</v>
      </c>
      <c r="C6976" t="str">
        <f>"460033199909093223"</f>
        <v>460033199909093223</v>
      </c>
      <c r="D6976" t="str">
        <f>"248030101120"</f>
        <v>248030101120</v>
      </c>
      <c r="L6976">
        <v>8960</v>
      </c>
      <c r="M6976" t="s">
        <v>7175</v>
      </c>
      <c r="N6976" t="str">
        <f>"248030101120"</f>
        <v>248030101120</v>
      </c>
      <c r="O6976" t="str">
        <f>"460033199909093223"</f>
        <v>460033199909093223</v>
      </c>
    </row>
    <row r="6977" customFormat="1" spans="1:15">
      <c r="A6977">
        <v>8962</v>
      </c>
      <c r="B6977" t="s">
        <v>265</v>
      </c>
      <c r="C6977" t="str">
        <f>"460033199301103219"</f>
        <v>460033199301103219</v>
      </c>
      <c r="D6977" t="str">
        <f>"248030302226"</f>
        <v>248030302226</v>
      </c>
      <c r="L6977">
        <v>8962</v>
      </c>
      <c r="M6977" t="s">
        <v>265</v>
      </c>
      <c r="N6977" t="str">
        <f>"248030302226"</f>
        <v>248030302226</v>
      </c>
      <c r="O6977" t="str">
        <f>"460033199301103219"</f>
        <v>460033199301103219</v>
      </c>
    </row>
    <row r="6978" customFormat="1" spans="1:15">
      <c r="A6978">
        <v>8964</v>
      </c>
      <c r="B6978" t="s">
        <v>7176</v>
      </c>
      <c r="C6978" t="str">
        <f>"460027200206280020"</f>
        <v>460027200206280020</v>
      </c>
      <c r="L6978">
        <v>8964</v>
      </c>
      <c r="M6978" t="s">
        <v>7176</v>
      </c>
      <c r="O6978" t="str">
        <f>"460027200206280020"</f>
        <v>460027200206280020</v>
      </c>
    </row>
    <row r="6979" customFormat="1" spans="1:15">
      <c r="A6979">
        <v>8966</v>
      </c>
      <c r="B6979" t="s">
        <v>7177</v>
      </c>
      <c r="C6979" t="str">
        <f>"429006199208166030"</f>
        <v>429006199208166030</v>
      </c>
      <c r="L6979">
        <v>8966</v>
      </c>
      <c r="M6979" t="s">
        <v>7177</v>
      </c>
      <c r="O6979" t="str">
        <f>"429006199208166030"</f>
        <v>429006199208166030</v>
      </c>
    </row>
    <row r="6980" customFormat="1" spans="1:15">
      <c r="A6980">
        <v>8967</v>
      </c>
      <c r="B6980" t="s">
        <v>7178</v>
      </c>
      <c r="C6980" t="str">
        <f>"460005200110163016"</f>
        <v>460005200110163016</v>
      </c>
      <c r="D6980" t="str">
        <f>"248030201707"</f>
        <v>248030201707</v>
      </c>
      <c r="L6980">
        <v>8967</v>
      </c>
      <c r="M6980" t="s">
        <v>7178</v>
      </c>
      <c r="N6980" t="str">
        <f>"248030201707"</f>
        <v>248030201707</v>
      </c>
      <c r="O6980" t="str">
        <f>"460005200110163016"</f>
        <v>460005200110163016</v>
      </c>
    </row>
    <row r="6981" customFormat="1" spans="1:15">
      <c r="A6981">
        <v>8968</v>
      </c>
      <c r="B6981" t="s">
        <v>7179</v>
      </c>
      <c r="C6981" t="str">
        <f>"460026200201190062"</f>
        <v>460026200201190062</v>
      </c>
      <c r="D6981" t="str">
        <f>"248030500627"</f>
        <v>248030500627</v>
      </c>
      <c r="L6981">
        <v>8968</v>
      </c>
      <c r="M6981" t="s">
        <v>7179</v>
      </c>
      <c r="N6981" t="str">
        <f>"248030500627"</f>
        <v>248030500627</v>
      </c>
      <c r="O6981" t="str">
        <f>"460026200201190062"</f>
        <v>460026200201190062</v>
      </c>
    </row>
    <row r="6982" customFormat="1" spans="1:15">
      <c r="A6982">
        <v>8969</v>
      </c>
      <c r="B6982" t="s">
        <v>5108</v>
      </c>
      <c r="C6982" t="str">
        <f>"460028199408205222"</f>
        <v>460028199408205222</v>
      </c>
      <c r="L6982">
        <v>8969</v>
      </c>
      <c r="M6982" t="s">
        <v>5108</v>
      </c>
      <c r="O6982" t="str">
        <f>"460028199408205222"</f>
        <v>460028199408205222</v>
      </c>
    </row>
    <row r="6983" customFormat="1" spans="1:15">
      <c r="A6983">
        <v>8970</v>
      </c>
      <c r="B6983" t="s">
        <v>7180</v>
      </c>
      <c r="C6983" t="str">
        <f>"460033200109068340"</f>
        <v>460033200109068340</v>
      </c>
      <c r="D6983" t="str">
        <f>"248030401822"</f>
        <v>248030401822</v>
      </c>
      <c r="L6983">
        <v>8970</v>
      </c>
      <c r="M6983" t="s">
        <v>7180</v>
      </c>
      <c r="N6983" t="str">
        <f>"248030401822"</f>
        <v>248030401822</v>
      </c>
      <c r="O6983" t="str">
        <f>"460033200109068340"</f>
        <v>460033200109068340</v>
      </c>
    </row>
    <row r="6984" customFormat="1" spans="1:15">
      <c r="A6984">
        <v>8971</v>
      </c>
      <c r="B6984" t="s">
        <v>7181</v>
      </c>
      <c r="C6984" t="str">
        <f>"460033200106203885"</f>
        <v>460033200106203885</v>
      </c>
      <c r="D6984" t="str">
        <f>"248030301116"</f>
        <v>248030301116</v>
      </c>
      <c r="L6984">
        <v>8971</v>
      </c>
      <c r="M6984" t="s">
        <v>7181</v>
      </c>
      <c r="N6984" t="str">
        <f>"248030301116"</f>
        <v>248030301116</v>
      </c>
      <c r="O6984" t="str">
        <f>"460033200106203885"</f>
        <v>460033200106203885</v>
      </c>
    </row>
    <row r="6985" customFormat="1" spans="1:15">
      <c r="A6985">
        <v>8972</v>
      </c>
      <c r="B6985" t="s">
        <v>7182</v>
      </c>
      <c r="C6985" t="str">
        <f>"460006200011212317"</f>
        <v>460006200011212317</v>
      </c>
      <c r="D6985" t="str">
        <f>"248030202012"</f>
        <v>248030202012</v>
      </c>
      <c r="L6985">
        <v>8972</v>
      </c>
      <c r="M6985" t="s">
        <v>7182</v>
      </c>
      <c r="N6985" t="str">
        <f>"248030202012"</f>
        <v>248030202012</v>
      </c>
      <c r="O6985" t="str">
        <f>"460006200011212317"</f>
        <v>460006200011212317</v>
      </c>
    </row>
    <row r="6986" customFormat="1" spans="1:15">
      <c r="A6986">
        <v>8973</v>
      </c>
      <c r="B6986" t="s">
        <v>1537</v>
      </c>
      <c r="C6986" t="str">
        <f>"469024200110085625"</f>
        <v>469024200110085625</v>
      </c>
      <c r="D6986" t="str">
        <f>"248030300214"</f>
        <v>248030300214</v>
      </c>
      <c r="L6986">
        <v>8973</v>
      </c>
      <c r="M6986" t="s">
        <v>1537</v>
      </c>
      <c r="N6986" t="str">
        <f>"248030300214"</f>
        <v>248030300214</v>
      </c>
      <c r="O6986" t="str">
        <f>"469024200110085625"</f>
        <v>469024200110085625</v>
      </c>
    </row>
    <row r="6987" customFormat="1" spans="1:15">
      <c r="A6987">
        <v>8974</v>
      </c>
      <c r="B6987" t="s">
        <v>7183</v>
      </c>
      <c r="C6987" t="str">
        <f>"44088320000128001X"</f>
        <v>44088320000128001X</v>
      </c>
      <c r="D6987" t="str">
        <f>"248030202312"</f>
        <v>248030202312</v>
      </c>
      <c r="L6987">
        <v>8974</v>
      </c>
      <c r="M6987" t="s">
        <v>7183</v>
      </c>
      <c r="N6987" t="str">
        <f>"248030202312"</f>
        <v>248030202312</v>
      </c>
      <c r="O6987" t="str">
        <f>"44088320000128001X"</f>
        <v>44088320000128001X</v>
      </c>
    </row>
    <row r="6988" customFormat="1" spans="1:15">
      <c r="A6988">
        <v>8975</v>
      </c>
      <c r="B6988" t="s">
        <v>7184</v>
      </c>
      <c r="C6988" t="str">
        <f>"460032199701287620"</f>
        <v>460032199701287620</v>
      </c>
      <c r="D6988" t="str">
        <f>"248030400213"</f>
        <v>248030400213</v>
      </c>
      <c r="L6988">
        <v>8975</v>
      </c>
      <c r="M6988" t="s">
        <v>7184</v>
      </c>
      <c r="N6988" t="str">
        <f>"248030400213"</f>
        <v>248030400213</v>
      </c>
      <c r="O6988" t="str">
        <f>"460032199701287620"</f>
        <v>460032199701287620</v>
      </c>
    </row>
    <row r="6989" customFormat="1" spans="1:15">
      <c r="A6989">
        <v>8978</v>
      </c>
      <c r="B6989" t="s">
        <v>7185</v>
      </c>
      <c r="C6989" t="str">
        <f>"46902320020321002X"</f>
        <v>46902320020321002X</v>
      </c>
      <c r="L6989">
        <v>8978</v>
      </c>
      <c r="M6989" t="s">
        <v>7185</v>
      </c>
      <c r="O6989" t="str">
        <f>"46902320020321002X"</f>
        <v>46902320020321002X</v>
      </c>
    </row>
    <row r="6990" customFormat="1" spans="1:15">
      <c r="A6990">
        <v>8979</v>
      </c>
      <c r="B6990" t="s">
        <v>7186</v>
      </c>
      <c r="C6990" t="str">
        <f>"460003199210173328"</f>
        <v>460003199210173328</v>
      </c>
      <c r="L6990">
        <v>8979</v>
      </c>
      <c r="M6990" t="s">
        <v>7186</v>
      </c>
      <c r="O6990" t="str">
        <f>"460003199210173328"</f>
        <v>460003199210173328</v>
      </c>
    </row>
    <row r="6991" customFormat="1" spans="1:15">
      <c r="A6991">
        <v>8981</v>
      </c>
      <c r="B6991" t="s">
        <v>7187</v>
      </c>
      <c r="C6991" t="str">
        <f>"460007199608057285"</f>
        <v>460007199608057285</v>
      </c>
      <c r="D6991" t="str">
        <f>"248030103508"</f>
        <v>248030103508</v>
      </c>
      <c r="L6991">
        <v>8981</v>
      </c>
      <c r="M6991" t="s">
        <v>7187</v>
      </c>
      <c r="N6991" t="str">
        <f>"248030103508"</f>
        <v>248030103508</v>
      </c>
      <c r="O6991" t="str">
        <f>"460007199608057285"</f>
        <v>460007199608057285</v>
      </c>
    </row>
    <row r="6992" customFormat="1" spans="1:15">
      <c r="A6992">
        <v>8982</v>
      </c>
      <c r="B6992" t="s">
        <v>7188</v>
      </c>
      <c r="C6992" t="str">
        <f>"460200199709290285"</f>
        <v>460200199709290285</v>
      </c>
      <c r="D6992" t="str">
        <f>"248030101527"</f>
        <v>248030101527</v>
      </c>
      <c r="L6992">
        <v>8982</v>
      </c>
      <c r="M6992" t="s">
        <v>7188</v>
      </c>
      <c r="N6992" t="str">
        <f>"248030101527"</f>
        <v>248030101527</v>
      </c>
      <c r="O6992" t="str">
        <f>"460200199709290285"</f>
        <v>460200199709290285</v>
      </c>
    </row>
    <row r="6993" customFormat="1" spans="1:15">
      <c r="A6993">
        <v>8984</v>
      </c>
      <c r="B6993" t="s">
        <v>7189</v>
      </c>
      <c r="C6993" t="str">
        <f>"220881199503316220"</f>
        <v>220881199503316220</v>
      </c>
      <c r="D6993" t="str">
        <f>"248030400916"</f>
        <v>248030400916</v>
      </c>
      <c r="L6993">
        <v>8984</v>
      </c>
      <c r="M6993" t="s">
        <v>7189</v>
      </c>
      <c r="N6993" t="str">
        <f>"248030400916"</f>
        <v>248030400916</v>
      </c>
      <c r="O6993" t="str">
        <f>"220881199503316220"</f>
        <v>220881199503316220</v>
      </c>
    </row>
    <row r="6994" customFormat="1" spans="1:15">
      <c r="A6994">
        <v>8985</v>
      </c>
      <c r="B6994" t="s">
        <v>7190</v>
      </c>
      <c r="C6994" t="str">
        <f>"469007200112184364"</f>
        <v>469007200112184364</v>
      </c>
      <c r="D6994" t="str">
        <f>"248030103523"</f>
        <v>248030103523</v>
      </c>
      <c r="L6994">
        <v>8985</v>
      </c>
      <c r="M6994" t="s">
        <v>7190</v>
      </c>
      <c r="N6994" t="str">
        <f>"248030103523"</f>
        <v>248030103523</v>
      </c>
      <c r="O6994" t="str">
        <f>"469007200112184364"</f>
        <v>469007200112184364</v>
      </c>
    </row>
    <row r="6995" customFormat="1" spans="1:15">
      <c r="A6995">
        <v>8986</v>
      </c>
      <c r="B6995" t="s">
        <v>7191</v>
      </c>
      <c r="C6995" t="str">
        <f>"460033200203273228"</f>
        <v>460033200203273228</v>
      </c>
      <c r="D6995" t="str">
        <f>"248030401930"</f>
        <v>248030401930</v>
      </c>
      <c r="L6995">
        <v>8986</v>
      </c>
      <c r="M6995" t="s">
        <v>7191</v>
      </c>
      <c r="N6995" t="str">
        <f>"248030401930"</f>
        <v>248030401930</v>
      </c>
      <c r="O6995" t="str">
        <f>"460033200203273228"</f>
        <v>460033200203273228</v>
      </c>
    </row>
    <row r="6996" customFormat="1" spans="1:15">
      <c r="A6996">
        <v>8987</v>
      </c>
      <c r="B6996" t="s">
        <v>7192</v>
      </c>
      <c r="C6996" t="str">
        <f>"460006200009226816"</f>
        <v>460006200009226816</v>
      </c>
      <c r="L6996">
        <v>8987</v>
      </c>
      <c r="M6996" t="s">
        <v>7192</v>
      </c>
      <c r="O6996" t="str">
        <f>"460006200009226816"</f>
        <v>460006200009226816</v>
      </c>
    </row>
    <row r="6997" customFormat="1" spans="1:15">
      <c r="A6997">
        <v>8988</v>
      </c>
      <c r="B6997" t="s">
        <v>7193</v>
      </c>
      <c r="C6997" t="str">
        <f>"460025200004043024"</f>
        <v>460025200004043024</v>
      </c>
      <c r="D6997" t="str">
        <f>"248030300105"</f>
        <v>248030300105</v>
      </c>
      <c r="L6997">
        <v>8988</v>
      </c>
      <c r="M6997" t="s">
        <v>7193</v>
      </c>
      <c r="N6997" t="str">
        <f>"248030300105"</f>
        <v>248030300105</v>
      </c>
      <c r="O6997" t="str">
        <f>"460025200004043024"</f>
        <v>460025200004043024</v>
      </c>
    </row>
    <row r="6998" customFormat="1" spans="1:15">
      <c r="A6998">
        <v>8989</v>
      </c>
      <c r="B6998" t="s">
        <v>7194</v>
      </c>
      <c r="C6998" t="str">
        <f>"460028199409305620"</f>
        <v>460028199409305620</v>
      </c>
      <c r="D6998" t="str">
        <f>"248030102622"</f>
        <v>248030102622</v>
      </c>
      <c r="L6998">
        <v>8989</v>
      </c>
      <c r="M6998" t="s">
        <v>7194</v>
      </c>
      <c r="N6998" t="str">
        <f>"248030102622"</f>
        <v>248030102622</v>
      </c>
      <c r="O6998" t="str">
        <f>"460028199409305620"</f>
        <v>460028199409305620</v>
      </c>
    </row>
    <row r="6999" customFormat="1" spans="1:15">
      <c r="A6999">
        <v>8990</v>
      </c>
      <c r="B6999" t="s">
        <v>7195</v>
      </c>
      <c r="C6999" t="str">
        <f>"46002819970214722X"</f>
        <v>46002819970214722X</v>
      </c>
      <c r="D6999" t="str">
        <f>"248030402229"</f>
        <v>248030402229</v>
      </c>
      <c r="L6999">
        <v>8990</v>
      </c>
      <c r="M6999" t="s">
        <v>7195</v>
      </c>
      <c r="N6999" t="str">
        <f>"248030402229"</f>
        <v>248030402229</v>
      </c>
      <c r="O6999" t="str">
        <f>"46002819970214722X"</f>
        <v>46002819970214722X</v>
      </c>
    </row>
    <row r="7000" customFormat="1" spans="1:15">
      <c r="A7000">
        <v>8991</v>
      </c>
      <c r="B7000" t="s">
        <v>7196</v>
      </c>
      <c r="C7000" t="str">
        <f>"460006199202022748"</f>
        <v>460006199202022748</v>
      </c>
      <c r="D7000" t="str">
        <f>"248030201012"</f>
        <v>248030201012</v>
      </c>
      <c r="L7000">
        <v>8991</v>
      </c>
      <c r="M7000" t="s">
        <v>7196</v>
      </c>
      <c r="N7000" t="str">
        <f>"248030201012"</f>
        <v>248030201012</v>
      </c>
      <c r="O7000" t="str">
        <f>"460006199202022748"</f>
        <v>460006199202022748</v>
      </c>
    </row>
    <row r="7001" customFormat="1" spans="1:15">
      <c r="A7001">
        <v>8992</v>
      </c>
      <c r="B7001" t="s">
        <v>7197</v>
      </c>
      <c r="C7001" t="str">
        <f>"460004199404130824"</f>
        <v>460004199404130824</v>
      </c>
      <c r="D7001" t="str">
        <f>"248030501909"</f>
        <v>248030501909</v>
      </c>
      <c r="L7001">
        <v>8992</v>
      </c>
      <c r="M7001" t="s">
        <v>7197</v>
      </c>
      <c r="N7001" t="str">
        <f>"248030501909"</f>
        <v>248030501909</v>
      </c>
      <c r="O7001" t="str">
        <f>"460004199404130824"</f>
        <v>460004199404130824</v>
      </c>
    </row>
    <row r="7002" customFormat="1" spans="1:15">
      <c r="A7002">
        <v>8993</v>
      </c>
      <c r="B7002" t="s">
        <v>7198</v>
      </c>
      <c r="C7002" t="str">
        <f>"512021200003214179"</f>
        <v>512021200003214179</v>
      </c>
      <c r="D7002" t="str">
        <f>"248030302726"</f>
        <v>248030302726</v>
      </c>
      <c r="L7002">
        <v>8993</v>
      </c>
      <c r="M7002" t="s">
        <v>7198</v>
      </c>
      <c r="N7002" t="str">
        <f>"248030302726"</f>
        <v>248030302726</v>
      </c>
      <c r="O7002" t="str">
        <f>"512021200003214179"</f>
        <v>512021200003214179</v>
      </c>
    </row>
    <row r="7003" customFormat="1" spans="1:15">
      <c r="A7003">
        <v>8995</v>
      </c>
      <c r="B7003" t="s">
        <v>7199</v>
      </c>
      <c r="C7003" t="str">
        <f>"340321199002103482"</f>
        <v>340321199002103482</v>
      </c>
      <c r="L7003">
        <v>8995</v>
      </c>
      <c r="M7003" t="s">
        <v>7199</v>
      </c>
      <c r="O7003" t="str">
        <f>"340321199002103482"</f>
        <v>340321199002103482</v>
      </c>
    </row>
    <row r="7004" customFormat="1" spans="1:15">
      <c r="A7004">
        <v>8996</v>
      </c>
      <c r="B7004" t="s">
        <v>1085</v>
      </c>
      <c r="C7004" t="str">
        <f>"350322199403180524"</f>
        <v>350322199403180524</v>
      </c>
      <c r="L7004">
        <v>8996</v>
      </c>
      <c r="M7004" t="s">
        <v>1085</v>
      </c>
      <c r="O7004" t="str">
        <f>"350322199403180524"</f>
        <v>350322199403180524</v>
      </c>
    </row>
    <row r="7005" customFormat="1" spans="1:15">
      <c r="A7005">
        <v>8997</v>
      </c>
      <c r="B7005" t="s">
        <v>7200</v>
      </c>
      <c r="C7005" t="str">
        <f>"460007199601090429"</f>
        <v>460007199601090429</v>
      </c>
      <c r="D7005" t="str">
        <f>"248030502009"</f>
        <v>248030502009</v>
      </c>
      <c r="L7005">
        <v>8997</v>
      </c>
      <c r="M7005" t="s">
        <v>7200</v>
      </c>
      <c r="N7005" t="str">
        <f>"248030502009"</f>
        <v>248030502009</v>
      </c>
      <c r="O7005" t="str">
        <f>"460007199601090429"</f>
        <v>460007199601090429</v>
      </c>
    </row>
    <row r="7006" customFormat="1" spans="1:15">
      <c r="A7006">
        <v>8998</v>
      </c>
      <c r="B7006" t="s">
        <v>7201</v>
      </c>
      <c r="C7006" t="str">
        <f>"460002199506246024"</f>
        <v>460002199506246024</v>
      </c>
      <c r="D7006" t="str">
        <f>"248030102808"</f>
        <v>248030102808</v>
      </c>
      <c r="L7006">
        <v>8998</v>
      </c>
      <c r="M7006" t="s">
        <v>7201</v>
      </c>
      <c r="N7006" t="str">
        <f>"248030102808"</f>
        <v>248030102808</v>
      </c>
      <c r="O7006" t="str">
        <f>"460002199506246024"</f>
        <v>460002199506246024</v>
      </c>
    </row>
    <row r="7007" customFormat="1" spans="1:15">
      <c r="A7007">
        <v>8999</v>
      </c>
      <c r="B7007" t="s">
        <v>7202</v>
      </c>
      <c r="C7007" t="str">
        <f>"460033199811057507"</f>
        <v>460033199811057507</v>
      </c>
      <c r="L7007">
        <v>8999</v>
      </c>
      <c r="M7007" t="s">
        <v>7202</v>
      </c>
      <c r="O7007" t="str">
        <f>"460033199811057507"</f>
        <v>460033199811057507</v>
      </c>
    </row>
    <row r="7008" customFormat="1" spans="1:15">
      <c r="A7008">
        <v>9001</v>
      </c>
      <c r="B7008" t="s">
        <v>7203</v>
      </c>
      <c r="C7008" t="str">
        <f>"440883199712155041"</f>
        <v>440883199712155041</v>
      </c>
      <c r="D7008" t="str">
        <f>"248030200227"</f>
        <v>248030200227</v>
      </c>
      <c r="L7008">
        <v>9001</v>
      </c>
      <c r="M7008" t="s">
        <v>7203</v>
      </c>
      <c r="N7008" t="str">
        <f>"248030200227"</f>
        <v>248030200227</v>
      </c>
      <c r="O7008" t="str">
        <f>"440883199712155041"</f>
        <v>440883199712155041</v>
      </c>
    </row>
    <row r="7009" customFormat="1" spans="1:15">
      <c r="A7009">
        <v>9002</v>
      </c>
      <c r="B7009" t="s">
        <v>7204</v>
      </c>
      <c r="C7009" t="str">
        <f>"460102200111084228"</f>
        <v>460102200111084228</v>
      </c>
      <c r="D7009" t="str">
        <f>"248030200816"</f>
        <v>248030200816</v>
      </c>
      <c r="L7009">
        <v>9002</v>
      </c>
      <c r="M7009" t="s">
        <v>7204</v>
      </c>
      <c r="N7009" t="str">
        <f>"248030200816"</f>
        <v>248030200816</v>
      </c>
      <c r="O7009" t="str">
        <f>"460102200111084228"</f>
        <v>460102200111084228</v>
      </c>
    </row>
    <row r="7010" customFormat="1" spans="1:15">
      <c r="A7010">
        <v>9004</v>
      </c>
      <c r="B7010" t="s">
        <v>7205</v>
      </c>
      <c r="C7010" t="str">
        <f>"130322199303194047"</f>
        <v>130322199303194047</v>
      </c>
      <c r="L7010">
        <v>9004</v>
      </c>
      <c r="M7010" t="s">
        <v>7205</v>
      </c>
      <c r="O7010" t="str">
        <f>"130322199303194047"</f>
        <v>130322199303194047</v>
      </c>
    </row>
    <row r="7011" customFormat="1" spans="1:15">
      <c r="A7011">
        <v>9006</v>
      </c>
      <c r="B7011" t="s">
        <v>7206</v>
      </c>
      <c r="C7011" t="str">
        <f>"460027200211230618"</f>
        <v>460027200211230618</v>
      </c>
      <c r="D7011" t="str">
        <f>"248030301906"</f>
        <v>248030301906</v>
      </c>
      <c r="L7011">
        <v>9006</v>
      </c>
      <c r="M7011" t="s">
        <v>7206</v>
      </c>
      <c r="N7011" t="str">
        <f>"248030301906"</f>
        <v>248030301906</v>
      </c>
      <c r="O7011" t="str">
        <f>"460027200211230618"</f>
        <v>460027200211230618</v>
      </c>
    </row>
    <row r="7012" customFormat="1" spans="1:15">
      <c r="A7012">
        <v>9007</v>
      </c>
      <c r="B7012" t="s">
        <v>7207</v>
      </c>
      <c r="C7012" t="str">
        <f>"460003200012052854"</f>
        <v>460003200012052854</v>
      </c>
      <c r="D7012" t="str">
        <f>"248030401029"</f>
        <v>248030401029</v>
      </c>
      <c r="L7012">
        <v>9007</v>
      </c>
      <c r="M7012" t="s">
        <v>7207</v>
      </c>
      <c r="N7012" t="str">
        <f>"248030401029"</f>
        <v>248030401029</v>
      </c>
      <c r="O7012" t="str">
        <f>"460003200012052854"</f>
        <v>460003200012052854</v>
      </c>
    </row>
    <row r="7013" customFormat="1" spans="1:15">
      <c r="A7013">
        <v>9008</v>
      </c>
      <c r="B7013" t="s">
        <v>7208</v>
      </c>
      <c r="C7013" t="str">
        <f>"460006199608032321"</f>
        <v>460006199608032321</v>
      </c>
      <c r="D7013" t="str">
        <f>"248030400706"</f>
        <v>248030400706</v>
      </c>
      <c r="L7013">
        <v>9008</v>
      </c>
      <c r="M7013" t="s">
        <v>7208</v>
      </c>
      <c r="N7013" t="str">
        <f>"248030400706"</f>
        <v>248030400706</v>
      </c>
      <c r="O7013" t="str">
        <f>"460006199608032321"</f>
        <v>460006199608032321</v>
      </c>
    </row>
    <row r="7014" customFormat="1" spans="1:15">
      <c r="A7014">
        <v>9009</v>
      </c>
      <c r="B7014" t="s">
        <v>7209</v>
      </c>
      <c r="C7014" t="str">
        <f>"469029200106150043"</f>
        <v>469029200106150043</v>
      </c>
      <c r="L7014">
        <v>9009</v>
      </c>
      <c r="M7014" t="s">
        <v>7209</v>
      </c>
      <c r="O7014" t="str">
        <f>"469029200106150043"</f>
        <v>469029200106150043</v>
      </c>
    </row>
    <row r="7015" customFormat="1" spans="1:15">
      <c r="A7015">
        <v>9011</v>
      </c>
      <c r="B7015" t="s">
        <v>7210</v>
      </c>
      <c r="C7015" t="str">
        <f>"530926200201301428"</f>
        <v>530926200201301428</v>
      </c>
      <c r="D7015" t="str">
        <f>"248030201827"</f>
        <v>248030201827</v>
      </c>
      <c r="L7015">
        <v>9011</v>
      </c>
      <c r="M7015" t="s">
        <v>7210</v>
      </c>
      <c r="N7015" t="str">
        <f>"248030201827"</f>
        <v>248030201827</v>
      </c>
      <c r="O7015" t="str">
        <f>"530926200201301428"</f>
        <v>530926200201301428</v>
      </c>
    </row>
    <row r="7016" customFormat="1" spans="1:15">
      <c r="A7016">
        <v>9012</v>
      </c>
      <c r="B7016" t="s">
        <v>7211</v>
      </c>
      <c r="C7016" t="str">
        <f>"460003200203133868"</f>
        <v>460003200203133868</v>
      </c>
      <c r="D7016" t="str">
        <f>"248030302104"</f>
        <v>248030302104</v>
      </c>
      <c r="L7016">
        <v>9012</v>
      </c>
      <c r="M7016" t="s">
        <v>7211</v>
      </c>
      <c r="N7016" t="str">
        <f>"248030302104"</f>
        <v>248030302104</v>
      </c>
      <c r="O7016" t="str">
        <f>"460003200203133868"</f>
        <v>460003200203133868</v>
      </c>
    </row>
    <row r="7017" customFormat="1" spans="1:15">
      <c r="A7017">
        <v>9013</v>
      </c>
      <c r="B7017" t="s">
        <v>7212</v>
      </c>
      <c r="C7017" t="str">
        <f>"460200199601080323"</f>
        <v>460200199601080323</v>
      </c>
      <c r="L7017">
        <v>9013</v>
      </c>
      <c r="M7017" t="s">
        <v>7212</v>
      </c>
      <c r="O7017" t="str">
        <f>"460200199601080323"</f>
        <v>460200199601080323</v>
      </c>
    </row>
    <row r="7018" customFormat="1" spans="1:15">
      <c r="A7018">
        <v>9014</v>
      </c>
      <c r="B7018" t="s">
        <v>7213</v>
      </c>
      <c r="C7018" t="str">
        <f>"430721200005033140"</f>
        <v>430721200005033140</v>
      </c>
      <c r="D7018" t="str">
        <f>"248030401524"</f>
        <v>248030401524</v>
      </c>
      <c r="L7018">
        <v>9014</v>
      </c>
      <c r="M7018" t="s">
        <v>7213</v>
      </c>
      <c r="N7018" t="str">
        <f>"248030401524"</f>
        <v>248030401524</v>
      </c>
      <c r="O7018" t="str">
        <f>"430721200005033140"</f>
        <v>430721200005033140</v>
      </c>
    </row>
    <row r="7019" customFormat="1" spans="1:15">
      <c r="A7019">
        <v>9015</v>
      </c>
      <c r="B7019" t="s">
        <v>7214</v>
      </c>
      <c r="C7019" t="str">
        <f>"460033199907233923"</f>
        <v>460033199907233923</v>
      </c>
      <c r="D7019" t="str">
        <f>"248030503604"</f>
        <v>248030503604</v>
      </c>
      <c r="L7019">
        <v>9015</v>
      </c>
      <c r="M7019" t="s">
        <v>7214</v>
      </c>
      <c r="N7019" t="str">
        <f>"248030503604"</f>
        <v>248030503604</v>
      </c>
      <c r="O7019" t="str">
        <f>"460033199907233923"</f>
        <v>460033199907233923</v>
      </c>
    </row>
    <row r="7020" customFormat="1" spans="1:15">
      <c r="A7020">
        <v>9017</v>
      </c>
      <c r="B7020" t="s">
        <v>2100</v>
      </c>
      <c r="C7020" t="str">
        <f>"460200199712160529"</f>
        <v>460200199712160529</v>
      </c>
      <c r="D7020" t="str">
        <f>"248030502316"</f>
        <v>248030502316</v>
      </c>
      <c r="L7020">
        <v>9017</v>
      </c>
      <c r="M7020" t="s">
        <v>2100</v>
      </c>
      <c r="N7020" t="str">
        <f>"248030502316"</f>
        <v>248030502316</v>
      </c>
      <c r="O7020" t="str">
        <f>"460200199712160529"</f>
        <v>460200199712160529</v>
      </c>
    </row>
    <row r="7021" customFormat="1" spans="1:15">
      <c r="A7021">
        <v>9019</v>
      </c>
      <c r="B7021" t="s">
        <v>7215</v>
      </c>
      <c r="C7021" t="str">
        <f>"460004200204234026"</f>
        <v>460004200204234026</v>
      </c>
      <c r="D7021" t="str">
        <f>"248030401804"</f>
        <v>248030401804</v>
      </c>
      <c r="L7021">
        <v>9019</v>
      </c>
      <c r="M7021" t="s">
        <v>7215</v>
      </c>
      <c r="N7021" t="str">
        <f>"248030401804"</f>
        <v>248030401804</v>
      </c>
      <c r="O7021" t="str">
        <f>"460004200204234026"</f>
        <v>460004200204234026</v>
      </c>
    </row>
    <row r="7022" customFormat="1" spans="1:15">
      <c r="A7022">
        <v>9020</v>
      </c>
      <c r="B7022" t="s">
        <v>7216</v>
      </c>
      <c r="C7022" t="str">
        <f>"370303199909071020"</f>
        <v>370303199909071020</v>
      </c>
      <c r="D7022" t="str">
        <f>"248030203416"</f>
        <v>248030203416</v>
      </c>
      <c r="L7022">
        <v>9020</v>
      </c>
      <c r="M7022" t="s">
        <v>7216</v>
      </c>
      <c r="N7022" t="str">
        <f>"248030203416"</f>
        <v>248030203416</v>
      </c>
      <c r="O7022" t="str">
        <f>"370303199909071020"</f>
        <v>370303199909071020</v>
      </c>
    </row>
    <row r="7023" customFormat="1" spans="1:15">
      <c r="A7023">
        <v>9021</v>
      </c>
      <c r="B7023" t="s">
        <v>7217</v>
      </c>
      <c r="C7023" t="str">
        <f>"460005200203293725"</f>
        <v>460005200203293725</v>
      </c>
      <c r="D7023" t="str">
        <f>"248030501301"</f>
        <v>248030501301</v>
      </c>
      <c r="L7023">
        <v>9021</v>
      </c>
      <c r="M7023" t="s">
        <v>7217</v>
      </c>
      <c r="N7023" t="str">
        <f>"248030501301"</f>
        <v>248030501301</v>
      </c>
      <c r="O7023" t="str">
        <f>"460005200203293725"</f>
        <v>460005200203293725</v>
      </c>
    </row>
    <row r="7024" customFormat="1" spans="1:15">
      <c r="A7024">
        <v>9022</v>
      </c>
      <c r="B7024" t="s">
        <v>7218</v>
      </c>
      <c r="C7024" t="str">
        <f>"460105200203180021"</f>
        <v>460105200203180021</v>
      </c>
      <c r="L7024">
        <v>9022</v>
      </c>
      <c r="M7024" t="s">
        <v>7218</v>
      </c>
      <c r="O7024" t="str">
        <f>"460105200203180021"</f>
        <v>460105200203180021</v>
      </c>
    </row>
    <row r="7025" customFormat="1" spans="1:15">
      <c r="A7025">
        <v>9024</v>
      </c>
      <c r="B7025" t="s">
        <v>7219</v>
      </c>
      <c r="C7025" t="str">
        <f>"622726200108221776"</f>
        <v>622726200108221776</v>
      </c>
      <c r="L7025">
        <v>9024</v>
      </c>
      <c r="M7025" t="s">
        <v>7219</v>
      </c>
      <c r="O7025" t="str">
        <f>"622726200108221776"</f>
        <v>622726200108221776</v>
      </c>
    </row>
    <row r="7026" customFormat="1" spans="1:15">
      <c r="A7026">
        <v>9025</v>
      </c>
      <c r="B7026" t="s">
        <v>7220</v>
      </c>
      <c r="C7026" t="str">
        <f>"211302199702111646"</f>
        <v>211302199702111646</v>
      </c>
      <c r="D7026" t="str">
        <f>"248030403013"</f>
        <v>248030403013</v>
      </c>
      <c r="L7026">
        <v>9025</v>
      </c>
      <c r="M7026" t="s">
        <v>7220</v>
      </c>
      <c r="N7026" t="str">
        <f>"248030403013"</f>
        <v>248030403013</v>
      </c>
      <c r="O7026" t="str">
        <f>"211302199702111646"</f>
        <v>211302199702111646</v>
      </c>
    </row>
    <row r="7027" customFormat="1" spans="1:15">
      <c r="A7027">
        <v>9026</v>
      </c>
      <c r="B7027" t="s">
        <v>7221</v>
      </c>
      <c r="C7027" t="str">
        <f>"460034200206030922"</f>
        <v>460034200206030922</v>
      </c>
      <c r="D7027" t="str">
        <f>"248030500719"</f>
        <v>248030500719</v>
      </c>
      <c r="L7027">
        <v>9026</v>
      </c>
      <c r="M7027" t="s">
        <v>7221</v>
      </c>
      <c r="N7027" t="str">
        <f>"248030500719"</f>
        <v>248030500719</v>
      </c>
      <c r="O7027" t="str">
        <f>"460034200206030922"</f>
        <v>460034200206030922</v>
      </c>
    </row>
    <row r="7028" customFormat="1" spans="1:15">
      <c r="A7028">
        <v>9027</v>
      </c>
      <c r="B7028" t="s">
        <v>7222</v>
      </c>
      <c r="C7028" t="str">
        <f>"460004198604160820"</f>
        <v>460004198604160820</v>
      </c>
      <c r="L7028">
        <v>9027</v>
      </c>
      <c r="M7028" t="s">
        <v>7222</v>
      </c>
      <c r="O7028" t="str">
        <f>"460004198604160820"</f>
        <v>460004198604160820</v>
      </c>
    </row>
    <row r="7029" customFormat="1" spans="1:15">
      <c r="A7029">
        <v>9028</v>
      </c>
      <c r="B7029" t="s">
        <v>7223</v>
      </c>
      <c r="C7029" t="str">
        <f>"460006199907190418"</f>
        <v>460006199907190418</v>
      </c>
      <c r="D7029" t="str">
        <f>"248030200112"</f>
        <v>248030200112</v>
      </c>
      <c r="L7029">
        <v>9028</v>
      </c>
      <c r="M7029" t="s">
        <v>7223</v>
      </c>
      <c r="N7029" t="str">
        <f>"248030200112"</f>
        <v>248030200112</v>
      </c>
      <c r="O7029" t="str">
        <f>"460006199907190418"</f>
        <v>460006199907190418</v>
      </c>
    </row>
    <row r="7030" customFormat="1" spans="1:15">
      <c r="A7030">
        <v>9029</v>
      </c>
      <c r="B7030" t="s">
        <v>7224</v>
      </c>
      <c r="C7030" t="str">
        <f>"469003199710212221"</f>
        <v>469003199710212221</v>
      </c>
      <c r="D7030" t="str">
        <f>"248030101718"</f>
        <v>248030101718</v>
      </c>
      <c r="L7030">
        <v>9029</v>
      </c>
      <c r="M7030" t="s">
        <v>7224</v>
      </c>
      <c r="N7030" t="str">
        <f>"248030101718"</f>
        <v>248030101718</v>
      </c>
      <c r="O7030" t="str">
        <f>"469003199710212221"</f>
        <v>469003199710212221</v>
      </c>
    </row>
    <row r="7031" customFormat="1" spans="1:15">
      <c r="A7031">
        <v>9031</v>
      </c>
      <c r="B7031" t="s">
        <v>7225</v>
      </c>
      <c r="C7031" t="str">
        <f>"430121200212082866"</f>
        <v>430121200212082866</v>
      </c>
      <c r="D7031" t="str">
        <f>"248030400809"</f>
        <v>248030400809</v>
      </c>
      <c r="L7031">
        <v>9031</v>
      </c>
      <c r="M7031" t="s">
        <v>7225</v>
      </c>
      <c r="N7031" t="str">
        <f>"248030400809"</f>
        <v>248030400809</v>
      </c>
      <c r="O7031" t="str">
        <f>"430121200212082866"</f>
        <v>430121200212082866</v>
      </c>
    </row>
    <row r="7032" customFormat="1" spans="1:15">
      <c r="A7032">
        <v>9033</v>
      </c>
      <c r="B7032" t="s">
        <v>7226</v>
      </c>
      <c r="C7032" t="str">
        <f>"460033200001052689"</f>
        <v>460033200001052689</v>
      </c>
      <c r="D7032" t="str">
        <f>"248030104420"</f>
        <v>248030104420</v>
      </c>
      <c r="L7032">
        <v>9033</v>
      </c>
      <c r="M7032" t="s">
        <v>7226</v>
      </c>
      <c r="N7032" t="str">
        <f>"248030104420"</f>
        <v>248030104420</v>
      </c>
      <c r="O7032" t="str">
        <f>"460033200001052689"</f>
        <v>460033200001052689</v>
      </c>
    </row>
    <row r="7033" customFormat="1" spans="1:15">
      <c r="A7033">
        <v>9034</v>
      </c>
      <c r="B7033" t="s">
        <v>7227</v>
      </c>
      <c r="C7033" t="str">
        <f>"460003200102173422"</f>
        <v>460003200102173422</v>
      </c>
      <c r="L7033">
        <v>9034</v>
      </c>
      <c r="M7033" t="s">
        <v>7227</v>
      </c>
      <c r="O7033" t="str">
        <f>"460003200102173422"</f>
        <v>460003200102173422</v>
      </c>
    </row>
    <row r="7034" customFormat="1" spans="1:15">
      <c r="A7034">
        <v>9035</v>
      </c>
      <c r="B7034" t="s">
        <v>5689</v>
      </c>
      <c r="C7034" t="str">
        <f>"460027200111010028"</f>
        <v>460027200111010028</v>
      </c>
      <c r="L7034">
        <v>9035</v>
      </c>
      <c r="M7034" t="s">
        <v>5689</v>
      </c>
      <c r="O7034" t="str">
        <f>"460027200111010028"</f>
        <v>460027200111010028</v>
      </c>
    </row>
    <row r="7035" customFormat="1" spans="1:15">
      <c r="A7035">
        <v>9036</v>
      </c>
      <c r="B7035" t="s">
        <v>7228</v>
      </c>
      <c r="C7035" t="str">
        <f>"46902319990319132X"</f>
        <v>46902319990319132X</v>
      </c>
      <c r="D7035" t="str">
        <f>"248030502308"</f>
        <v>248030502308</v>
      </c>
      <c r="L7035">
        <v>9036</v>
      </c>
      <c r="M7035" t="s">
        <v>7228</v>
      </c>
      <c r="N7035" t="str">
        <f>"248030502308"</f>
        <v>248030502308</v>
      </c>
      <c r="O7035" t="str">
        <f>"46902319990319132X"</f>
        <v>46902319990319132X</v>
      </c>
    </row>
    <row r="7036" customFormat="1" spans="1:15">
      <c r="A7036">
        <v>9038</v>
      </c>
      <c r="B7036" t="s">
        <v>7229</v>
      </c>
      <c r="C7036" t="str">
        <f>"460200199012283827"</f>
        <v>460200199012283827</v>
      </c>
      <c r="D7036" t="str">
        <f>"248030301126"</f>
        <v>248030301126</v>
      </c>
      <c r="L7036">
        <v>9038</v>
      </c>
      <c r="M7036" t="s">
        <v>7229</v>
      </c>
      <c r="N7036" t="str">
        <f>"248030301126"</f>
        <v>248030301126</v>
      </c>
      <c r="O7036" t="str">
        <f>"460200199012283827"</f>
        <v>460200199012283827</v>
      </c>
    </row>
    <row r="7037" customFormat="1" spans="1:15">
      <c r="A7037">
        <v>9040</v>
      </c>
      <c r="B7037" t="s">
        <v>7230</v>
      </c>
      <c r="C7037" t="str">
        <f>"441203199512020923"</f>
        <v>441203199512020923</v>
      </c>
      <c r="L7037">
        <v>9040</v>
      </c>
      <c r="M7037" t="s">
        <v>7230</v>
      </c>
      <c r="O7037" t="str">
        <f>"441203199512020923"</f>
        <v>441203199512020923</v>
      </c>
    </row>
    <row r="7038" customFormat="1" spans="1:15">
      <c r="A7038">
        <v>9041</v>
      </c>
      <c r="B7038" t="s">
        <v>7231</v>
      </c>
      <c r="C7038" t="str">
        <f>"460006200008060228"</f>
        <v>460006200008060228</v>
      </c>
      <c r="D7038" t="str">
        <f>"248030400808"</f>
        <v>248030400808</v>
      </c>
      <c r="L7038">
        <v>9041</v>
      </c>
      <c r="M7038" t="s">
        <v>7231</v>
      </c>
      <c r="N7038" t="str">
        <f>"248030400808"</f>
        <v>248030400808</v>
      </c>
      <c r="O7038" t="str">
        <f>"460006200008060228"</f>
        <v>460006200008060228</v>
      </c>
    </row>
    <row r="7039" customFormat="1" spans="1:15">
      <c r="A7039">
        <v>9042</v>
      </c>
      <c r="B7039" t="s">
        <v>7232</v>
      </c>
      <c r="C7039" t="str">
        <f>"469024200001211223"</f>
        <v>469024200001211223</v>
      </c>
      <c r="D7039" t="str">
        <f>"248030501608"</f>
        <v>248030501608</v>
      </c>
      <c r="L7039">
        <v>9042</v>
      </c>
      <c r="M7039" t="s">
        <v>7232</v>
      </c>
      <c r="N7039" t="str">
        <f>"248030501608"</f>
        <v>248030501608</v>
      </c>
      <c r="O7039" t="str">
        <f>"469024200001211223"</f>
        <v>469024200001211223</v>
      </c>
    </row>
    <row r="7040" customFormat="1" spans="1:15">
      <c r="A7040">
        <v>9043</v>
      </c>
      <c r="B7040" t="s">
        <v>7233</v>
      </c>
      <c r="C7040" t="str">
        <f>"469007200206108776"</f>
        <v>469007200206108776</v>
      </c>
      <c r="D7040" t="str">
        <f>"248030203820"</f>
        <v>248030203820</v>
      </c>
      <c r="L7040">
        <v>9043</v>
      </c>
      <c r="M7040" t="s">
        <v>7233</v>
      </c>
      <c r="N7040" t="str">
        <f>"248030203820"</f>
        <v>248030203820</v>
      </c>
      <c r="O7040" t="str">
        <f>"469007200206108776"</f>
        <v>469007200206108776</v>
      </c>
    </row>
    <row r="7041" customFormat="1" spans="1:15">
      <c r="A7041">
        <v>9044</v>
      </c>
      <c r="B7041" t="s">
        <v>7234</v>
      </c>
      <c r="C7041" t="str">
        <f>"46902520020416331X"</f>
        <v>46902520020416331X</v>
      </c>
      <c r="D7041" t="str">
        <f>"248030202613"</f>
        <v>248030202613</v>
      </c>
      <c r="L7041">
        <v>9044</v>
      </c>
      <c r="M7041" t="s">
        <v>7234</v>
      </c>
      <c r="N7041" t="str">
        <f>"248030202613"</f>
        <v>248030202613</v>
      </c>
      <c r="O7041" t="str">
        <f>"46902520020416331X"</f>
        <v>46902520020416331X</v>
      </c>
    </row>
    <row r="7042" customFormat="1" spans="1:15">
      <c r="A7042">
        <v>9045</v>
      </c>
      <c r="B7042" t="s">
        <v>7235</v>
      </c>
      <c r="C7042" t="str">
        <f>"460003199708084082"</f>
        <v>460003199708084082</v>
      </c>
      <c r="L7042">
        <v>9045</v>
      </c>
      <c r="M7042" t="s">
        <v>7235</v>
      </c>
      <c r="O7042" t="str">
        <f>"460003199708084082"</f>
        <v>460003199708084082</v>
      </c>
    </row>
    <row r="7043" customFormat="1" spans="1:15">
      <c r="A7043">
        <v>9046</v>
      </c>
      <c r="B7043" t="s">
        <v>7236</v>
      </c>
      <c r="C7043" t="str">
        <f>"460107199710291428"</f>
        <v>460107199710291428</v>
      </c>
      <c r="D7043" t="str">
        <f>"248030101815"</f>
        <v>248030101815</v>
      </c>
      <c r="L7043">
        <v>9046</v>
      </c>
      <c r="M7043" t="s">
        <v>7236</v>
      </c>
      <c r="N7043" t="str">
        <f>"248030101815"</f>
        <v>248030101815</v>
      </c>
      <c r="O7043" t="str">
        <f>"460107199710291428"</f>
        <v>460107199710291428</v>
      </c>
    </row>
    <row r="7044" customFormat="1" spans="1:15">
      <c r="A7044">
        <v>9047</v>
      </c>
      <c r="B7044" t="s">
        <v>6871</v>
      </c>
      <c r="C7044" t="str">
        <f>"420581200111220031"</f>
        <v>420581200111220031</v>
      </c>
      <c r="D7044" t="str">
        <f>"248030103120"</f>
        <v>248030103120</v>
      </c>
      <c r="L7044">
        <v>9047</v>
      </c>
      <c r="M7044" t="s">
        <v>6871</v>
      </c>
      <c r="N7044" t="str">
        <f>"248030103120"</f>
        <v>248030103120</v>
      </c>
      <c r="O7044" t="str">
        <f>"420581200111220031"</f>
        <v>420581200111220031</v>
      </c>
    </row>
    <row r="7045" customFormat="1" spans="1:15">
      <c r="A7045">
        <v>9048</v>
      </c>
      <c r="B7045" t="s">
        <v>7237</v>
      </c>
      <c r="C7045" t="str">
        <f>"622621200207230339"</f>
        <v>622621200207230339</v>
      </c>
      <c r="D7045" t="str">
        <f>"248030302007"</f>
        <v>248030302007</v>
      </c>
      <c r="L7045">
        <v>9048</v>
      </c>
      <c r="M7045" t="s">
        <v>7237</v>
      </c>
      <c r="N7045" t="str">
        <f>"248030302007"</f>
        <v>248030302007</v>
      </c>
      <c r="O7045" t="str">
        <f>"622621200207230339"</f>
        <v>622621200207230339</v>
      </c>
    </row>
    <row r="7046" customFormat="1" spans="1:15">
      <c r="A7046">
        <v>9049</v>
      </c>
      <c r="B7046" t="s">
        <v>7238</v>
      </c>
      <c r="C7046" t="str">
        <f>"232101198402151489"</f>
        <v>232101198402151489</v>
      </c>
      <c r="L7046">
        <v>9049</v>
      </c>
      <c r="M7046" t="s">
        <v>7238</v>
      </c>
      <c r="O7046" t="str">
        <f>"232101198402151489"</f>
        <v>232101198402151489</v>
      </c>
    </row>
    <row r="7047" customFormat="1" spans="1:15">
      <c r="A7047">
        <v>9050</v>
      </c>
      <c r="B7047" t="s">
        <v>7239</v>
      </c>
      <c r="C7047" t="str">
        <f>"53250119990912062X"</f>
        <v>53250119990912062X</v>
      </c>
      <c r="L7047">
        <v>9050</v>
      </c>
      <c r="M7047" t="s">
        <v>7239</v>
      </c>
      <c r="O7047" t="str">
        <f>"53250119990912062X"</f>
        <v>53250119990912062X</v>
      </c>
    </row>
    <row r="7048" customFormat="1" spans="1:15">
      <c r="A7048">
        <v>9052</v>
      </c>
      <c r="B7048" t="s">
        <v>7240</v>
      </c>
      <c r="C7048" t="str">
        <f>"460004200011144024"</f>
        <v>460004200011144024</v>
      </c>
      <c r="D7048" t="str">
        <f>"248030501025"</f>
        <v>248030501025</v>
      </c>
      <c r="L7048">
        <v>9052</v>
      </c>
      <c r="M7048" t="s">
        <v>7240</v>
      </c>
      <c r="N7048" t="str">
        <f>"248030501025"</f>
        <v>248030501025</v>
      </c>
      <c r="O7048" t="str">
        <f>"460004200011144024"</f>
        <v>460004200011144024</v>
      </c>
    </row>
    <row r="7049" customFormat="1" spans="1:15">
      <c r="A7049">
        <v>9053</v>
      </c>
      <c r="B7049" t="s">
        <v>7241</v>
      </c>
      <c r="C7049" t="str">
        <f>"460033199711253586"</f>
        <v>460033199711253586</v>
      </c>
      <c r="D7049" t="str">
        <f>"248030102827"</f>
        <v>248030102827</v>
      </c>
      <c r="L7049">
        <v>9053</v>
      </c>
      <c r="M7049" t="s">
        <v>7241</v>
      </c>
      <c r="N7049" t="str">
        <f>"248030102827"</f>
        <v>248030102827</v>
      </c>
      <c r="O7049" t="str">
        <f>"460033199711253586"</f>
        <v>460033199711253586</v>
      </c>
    </row>
    <row r="7050" customFormat="1" spans="1:15">
      <c r="A7050">
        <v>9054</v>
      </c>
      <c r="B7050" t="s">
        <v>3049</v>
      </c>
      <c r="C7050" t="str">
        <f>"460001199101180024"</f>
        <v>460001199101180024</v>
      </c>
      <c r="D7050" t="str">
        <f>"248030503104"</f>
        <v>248030503104</v>
      </c>
      <c r="L7050">
        <v>9054</v>
      </c>
      <c r="M7050" t="s">
        <v>3049</v>
      </c>
      <c r="N7050" t="str">
        <f>"248030503104"</f>
        <v>248030503104</v>
      </c>
      <c r="O7050" t="str">
        <f>"460001199101180024"</f>
        <v>460001199101180024</v>
      </c>
    </row>
    <row r="7051" customFormat="1" spans="1:15">
      <c r="A7051">
        <v>9056</v>
      </c>
      <c r="B7051" t="s">
        <v>7242</v>
      </c>
      <c r="C7051" t="str">
        <f>"460028200210205644"</f>
        <v>460028200210205644</v>
      </c>
      <c r="D7051" t="str">
        <f>"248030402218"</f>
        <v>248030402218</v>
      </c>
      <c r="L7051">
        <v>9056</v>
      </c>
      <c r="M7051" t="s">
        <v>7242</v>
      </c>
      <c r="N7051" t="str">
        <f>"248030402218"</f>
        <v>248030402218</v>
      </c>
      <c r="O7051" t="str">
        <f>"460028200210205644"</f>
        <v>460028200210205644</v>
      </c>
    </row>
    <row r="7052" customFormat="1" spans="1:15">
      <c r="A7052">
        <v>9057</v>
      </c>
      <c r="B7052" t="s">
        <v>7243</v>
      </c>
      <c r="C7052" t="str">
        <f>"460102200108090627"</f>
        <v>460102200108090627</v>
      </c>
      <c r="L7052">
        <v>9057</v>
      </c>
      <c r="M7052" t="s">
        <v>7243</v>
      </c>
      <c r="O7052" t="str">
        <f>"460102200108090627"</f>
        <v>460102200108090627</v>
      </c>
    </row>
    <row r="7053" customFormat="1" spans="1:15">
      <c r="A7053">
        <v>9058</v>
      </c>
      <c r="B7053" t="s">
        <v>7244</v>
      </c>
      <c r="C7053" t="str">
        <f>"341227198712124041"</f>
        <v>341227198712124041</v>
      </c>
      <c r="L7053">
        <v>9058</v>
      </c>
      <c r="M7053" t="s">
        <v>7244</v>
      </c>
      <c r="O7053" t="str">
        <f>"341227198712124041"</f>
        <v>341227198712124041</v>
      </c>
    </row>
    <row r="7054" customFormat="1" spans="1:15">
      <c r="A7054">
        <v>9059</v>
      </c>
      <c r="B7054" t="s">
        <v>7245</v>
      </c>
      <c r="C7054" t="str">
        <f>"460103200207143022"</f>
        <v>460103200207143022</v>
      </c>
      <c r="D7054" t="str">
        <f>"248030200422"</f>
        <v>248030200422</v>
      </c>
      <c r="L7054">
        <v>9059</v>
      </c>
      <c r="M7054" t="s">
        <v>7245</v>
      </c>
      <c r="N7054" t="str">
        <f>"248030200422"</f>
        <v>248030200422</v>
      </c>
      <c r="O7054" t="str">
        <f>"460103200207143022"</f>
        <v>460103200207143022</v>
      </c>
    </row>
    <row r="7055" customFormat="1" spans="1:15">
      <c r="A7055">
        <v>9060</v>
      </c>
      <c r="B7055" t="s">
        <v>7246</v>
      </c>
      <c r="C7055" t="str">
        <f>"469026199903270828"</f>
        <v>469026199903270828</v>
      </c>
      <c r="L7055">
        <v>9060</v>
      </c>
      <c r="M7055" t="s">
        <v>7246</v>
      </c>
      <c r="O7055" t="str">
        <f>"469026199903270828"</f>
        <v>469026199903270828</v>
      </c>
    </row>
    <row r="7056" customFormat="1" spans="1:15">
      <c r="A7056">
        <v>9061</v>
      </c>
      <c r="B7056" t="s">
        <v>7247</v>
      </c>
      <c r="C7056" t="str">
        <f>"350923200104060025"</f>
        <v>350923200104060025</v>
      </c>
      <c r="L7056">
        <v>9061</v>
      </c>
      <c r="M7056" t="s">
        <v>7247</v>
      </c>
      <c r="O7056" t="str">
        <f>"350923200104060025"</f>
        <v>350923200104060025</v>
      </c>
    </row>
    <row r="7057" customFormat="1" spans="1:15">
      <c r="A7057">
        <v>9062</v>
      </c>
      <c r="B7057" t="s">
        <v>7248</v>
      </c>
      <c r="C7057" t="str">
        <f>"460022199210151523"</f>
        <v>460022199210151523</v>
      </c>
      <c r="D7057" t="str">
        <f>"248030501926"</f>
        <v>248030501926</v>
      </c>
      <c r="L7057">
        <v>9062</v>
      </c>
      <c r="M7057" t="s">
        <v>7248</v>
      </c>
      <c r="N7057" t="str">
        <f>"248030501926"</f>
        <v>248030501926</v>
      </c>
      <c r="O7057" t="str">
        <f>"460022199210151523"</f>
        <v>460022199210151523</v>
      </c>
    </row>
    <row r="7058" customFormat="1" spans="1:15">
      <c r="A7058">
        <v>9063</v>
      </c>
      <c r="B7058" t="s">
        <v>7249</v>
      </c>
      <c r="C7058" t="str">
        <f>"410923199311056628"</f>
        <v>410923199311056628</v>
      </c>
      <c r="L7058">
        <v>9063</v>
      </c>
      <c r="M7058" t="s">
        <v>7249</v>
      </c>
      <c r="O7058" t="str">
        <f>"410923199311056628"</f>
        <v>410923199311056628</v>
      </c>
    </row>
    <row r="7059" customFormat="1" spans="1:15">
      <c r="A7059">
        <v>9064</v>
      </c>
      <c r="B7059" t="s">
        <v>7250</v>
      </c>
      <c r="C7059" t="str">
        <f>"460036199810094524"</f>
        <v>460036199810094524</v>
      </c>
      <c r="D7059" t="str">
        <f>"248030101029"</f>
        <v>248030101029</v>
      </c>
      <c r="L7059">
        <v>9064</v>
      </c>
      <c r="M7059" t="s">
        <v>7250</v>
      </c>
      <c r="N7059" t="str">
        <f>"248030101029"</f>
        <v>248030101029</v>
      </c>
      <c r="O7059" t="str">
        <f>"460036199810094524"</f>
        <v>460036199810094524</v>
      </c>
    </row>
    <row r="7060" customFormat="1" spans="1:15">
      <c r="A7060">
        <v>9065</v>
      </c>
      <c r="B7060" t="s">
        <v>7251</v>
      </c>
      <c r="C7060" t="str">
        <f>"460033200104243277"</f>
        <v>460033200104243277</v>
      </c>
      <c r="D7060" t="str">
        <f>"248030301823"</f>
        <v>248030301823</v>
      </c>
      <c r="L7060">
        <v>9065</v>
      </c>
      <c r="M7060" t="s">
        <v>7251</v>
      </c>
      <c r="N7060" t="str">
        <f>"248030301823"</f>
        <v>248030301823</v>
      </c>
      <c r="O7060" t="str">
        <f>"460033200104243277"</f>
        <v>460033200104243277</v>
      </c>
    </row>
    <row r="7061" customFormat="1" spans="1:15">
      <c r="A7061">
        <v>9066</v>
      </c>
      <c r="B7061" t="s">
        <v>7252</v>
      </c>
      <c r="C7061" t="str">
        <f>"469023200103316222"</f>
        <v>469023200103316222</v>
      </c>
      <c r="L7061">
        <v>9066</v>
      </c>
      <c r="M7061" t="s">
        <v>7252</v>
      </c>
      <c r="O7061" t="str">
        <f>"469023200103316222"</f>
        <v>469023200103316222</v>
      </c>
    </row>
    <row r="7062" customFormat="1" spans="1:15">
      <c r="A7062">
        <v>9067</v>
      </c>
      <c r="B7062" t="s">
        <v>7253</v>
      </c>
      <c r="C7062" t="str">
        <f>"460033199806220023"</f>
        <v>460033199806220023</v>
      </c>
      <c r="D7062" t="str">
        <f>"248030500923"</f>
        <v>248030500923</v>
      </c>
      <c r="L7062">
        <v>9067</v>
      </c>
      <c r="M7062" t="s">
        <v>7253</v>
      </c>
      <c r="N7062" t="str">
        <f>"248030500923"</f>
        <v>248030500923</v>
      </c>
      <c r="O7062" t="str">
        <f>"460033199806220023"</f>
        <v>460033199806220023</v>
      </c>
    </row>
    <row r="7063" customFormat="1" spans="1:15">
      <c r="A7063">
        <v>9068</v>
      </c>
      <c r="B7063" t="s">
        <v>7254</v>
      </c>
      <c r="C7063" t="str">
        <f>"460026199112050943"</f>
        <v>460026199112050943</v>
      </c>
      <c r="D7063" t="str">
        <f>"248030500823"</f>
        <v>248030500823</v>
      </c>
      <c r="L7063">
        <v>9068</v>
      </c>
      <c r="M7063" t="s">
        <v>7254</v>
      </c>
      <c r="N7063" t="str">
        <f>"248030500823"</f>
        <v>248030500823</v>
      </c>
      <c r="O7063" t="str">
        <f>"460026199112050943"</f>
        <v>460026199112050943</v>
      </c>
    </row>
    <row r="7064" customFormat="1" spans="1:15">
      <c r="A7064">
        <v>9069</v>
      </c>
      <c r="B7064" t="s">
        <v>7255</v>
      </c>
      <c r="C7064" t="str">
        <f>"460004199705244622"</f>
        <v>460004199705244622</v>
      </c>
      <c r="D7064" t="str">
        <f>"248030203712"</f>
        <v>248030203712</v>
      </c>
      <c r="L7064">
        <v>9069</v>
      </c>
      <c r="M7064" t="s">
        <v>7255</v>
      </c>
      <c r="N7064" t="str">
        <f>"248030203712"</f>
        <v>248030203712</v>
      </c>
      <c r="O7064" t="str">
        <f>"460004199705244622"</f>
        <v>460004199705244622</v>
      </c>
    </row>
    <row r="7065" customFormat="1" spans="1:15">
      <c r="A7065">
        <v>9072</v>
      </c>
      <c r="B7065" t="s">
        <v>7256</v>
      </c>
      <c r="C7065" t="str">
        <f>"460030199704130028"</f>
        <v>460030199704130028</v>
      </c>
      <c r="D7065" t="str">
        <f>"248030103204"</f>
        <v>248030103204</v>
      </c>
      <c r="L7065">
        <v>9072</v>
      </c>
      <c r="M7065" t="s">
        <v>7256</v>
      </c>
      <c r="N7065" t="str">
        <f>"248030103204"</f>
        <v>248030103204</v>
      </c>
      <c r="O7065" t="str">
        <f>"460030199704130028"</f>
        <v>460030199704130028</v>
      </c>
    </row>
    <row r="7066" customFormat="1" spans="1:15">
      <c r="A7066">
        <v>9073</v>
      </c>
      <c r="B7066" t="s">
        <v>7257</v>
      </c>
      <c r="C7066" t="str">
        <f>"460005200112124125"</f>
        <v>460005200112124125</v>
      </c>
      <c r="D7066" t="str">
        <f>"248030403121"</f>
        <v>248030403121</v>
      </c>
      <c r="L7066">
        <v>9073</v>
      </c>
      <c r="M7066" t="s">
        <v>7257</v>
      </c>
      <c r="N7066" t="str">
        <f>"248030403121"</f>
        <v>248030403121</v>
      </c>
      <c r="O7066" t="str">
        <f>"460005200112124125"</f>
        <v>460005200112124125</v>
      </c>
    </row>
    <row r="7067" customFormat="1" spans="1:15">
      <c r="A7067">
        <v>9074</v>
      </c>
      <c r="B7067" t="s">
        <v>7258</v>
      </c>
      <c r="C7067" t="str">
        <f>"460028200201187229"</f>
        <v>460028200201187229</v>
      </c>
      <c r="D7067" t="str">
        <f>"248030503210"</f>
        <v>248030503210</v>
      </c>
      <c r="L7067">
        <v>9074</v>
      </c>
      <c r="M7067" t="s">
        <v>7258</v>
      </c>
      <c r="N7067" t="str">
        <f>"248030503210"</f>
        <v>248030503210</v>
      </c>
      <c r="O7067" t="str">
        <f>"460028200201187229"</f>
        <v>460028200201187229</v>
      </c>
    </row>
    <row r="7068" customFormat="1" spans="1:15">
      <c r="A7068">
        <v>9076</v>
      </c>
      <c r="B7068" t="s">
        <v>7259</v>
      </c>
      <c r="C7068" t="str">
        <f>"431126199409180053"</f>
        <v>431126199409180053</v>
      </c>
      <c r="L7068">
        <v>9076</v>
      </c>
      <c r="M7068" t="s">
        <v>7259</v>
      </c>
      <c r="O7068" t="str">
        <f>"431126199409180053"</f>
        <v>431126199409180053</v>
      </c>
    </row>
    <row r="7069" customFormat="1" spans="1:15">
      <c r="A7069">
        <v>9077</v>
      </c>
      <c r="B7069" t="s">
        <v>7260</v>
      </c>
      <c r="C7069" t="str">
        <f>"61052120020115177X"</f>
        <v>61052120020115177X</v>
      </c>
      <c r="D7069" t="str">
        <f>"248030300318"</f>
        <v>248030300318</v>
      </c>
      <c r="L7069">
        <v>9077</v>
      </c>
      <c r="M7069" t="s">
        <v>7260</v>
      </c>
      <c r="N7069" t="str">
        <f>"248030300318"</f>
        <v>248030300318</v>
      </c>
      <c r="O7069" t="str">
        <f>"61052120020115177X"</f>
        <v>61052120020115177X</v>
      </c>
    </row>
    <row r="7070" customFormat="1" spans="1:15">
      <c r="A7070">
        <v>9078</v>
      </c>
      <c r="B7070" t="s">
        <v>7261</v>
      </c>
      <c r="C7070" t="str">
        <f>"460002199611070323"</f>
        <v>460002199611070323</v>
      </c>
      <c r="L7070">
        <v>9078</v>
      </c>
      <c r="M7070" t="s">
        <v>7261</v>
      </c>
      <c r="O7070" t="str">
        <f>"460002199611070323"</f>
        <v>460002199611070323</v>
      </c>
    </row>
    <row r="7071" customFormat="1" spans="1:15">
      <c r="A7071">
        <v>9079</v>
      </c>
      <c r="B7071" t="s">
        <v>7262</v>
      </c>
      <c r="C7071" t="str">
        <f>"460007200209260425"</f>
        <v>460007200209260425</v>
      </c>
      <c r="D7071" t="str">
        <f>"248030504112"</f>
        <v>248030504112</v>
      </c>
      <c r="L7071">
        <v>9079</v>
      </c>
      <c r="M7071" t="s">
        <v>7262</v>
      </c>
      <c r="N7071" t="str">
        <f>"248030504112"</f>
        <v>248030504112</v>
      </c>
      <c r="O7071" t="str">
        <f>"460007200209260425"</f>
        <v>460007200209260425</v>
      </c>
    </row>
    <row r="7072" customFormat="1" spans="1:15">
      <c r="A7072">
        <v>9080</v>
      </c>
      <c r="B7072" t="s">
        <v>519</v>
      </c>
      <c r="C7072" t="str">
        <f>"460007199702275369"</f>
        <v>460007199702275369</v>
      </c>
      <c r="D7072" t="str">
        <f>"248030403502"</f>
        <v>248030403502</v>
      </c>
      <c r="L7072">
        <v>9080</v>
      </c>
      <c r="M7072" t="s">
        <v>519</v>
      </c>
      <c r="N7072" t="str">
        <f>"248030403502"</f>
        <v>248030403502</v>
      </c>
      <c r="O7072" t="str">
        <f>"460007199702275369"</f>
        <v>460007199702275369</v>
      </c>
    </row>
    <row r="7073" customFormat="1" spans="1:15">
      <c r="A7073">
        <v>9081</v>
      </c>
      <c r="B7073" t="s">
        <v>7263</v>
      </c>
      <c r="C7073" t="str">
        <f>"320684199012027426"</f>
        <v>320684199012027426</v>
      </c>
      <c r="L7073">
        <v>9081</v>
      </c>
      <c r="M7073" t="s">
        <v>7263</v>
      </c>
      <c r="O7073" t="str">
        <f>"320684199012027426"</f>
        <v>320684199012027426</v>
      </c>
    </row>
    <row r="7074" customFormat="1" spans="1:15">
      <c r="A7074">
        <v>9082</v>
      </c>
      <c r="B7074" t="s">
        <v>7264</v>
      </c>
      <c r="C7074" t="str">
        <f>"460007199102234969"</f>
        <v>460007199102234969</v>
      </c>
      <c r="D7074" t="str">
        <f>"248030403402"</f>
        <v>248030403402</v>
      </c>
      <c r="L7074">
        <v>9082</v>
      </c>
      <c r="M7074" t="s">
        <v>7264</v>
      </c>
      <c r="N7074" t="str">
        <f>"248030403402"</f>
        <v>248030403402</v>
      </c>
      <c r="O7074" t="str">
        <f>"460007199102234969"</f>
        <v>460007199102234969</v>
      </c>
    </row>
    <row r="7075" customFormat="1" spans="1:15">
      <c r="A7075">
        <v>9083</v>
      </c>
      <c r="B7075" t="s">
        <v>7265</v>
      </c>
      <c r="C7075" t="str">
        <f>"460006199409290221"</f>
        <v>460006199409290221</v>
      </c>
      <c r="D7075" t="str">
        <f>"248030401919"</f>
        <v>248030401919</v>
      </c>
      <c r="L7075">
        <v>9083</v>
      </c>
      <c r="M7075" t="s">
        <v>7265</v>
      </c>
      <c r="N7075" t="str">
        <f>"248030401919"</f>
        <v>248030401919</v>
      </c>
      <c r="O7075" t="str">
        <f>"460006199409290221"</f>
        <v>460006199409290221</v>
      </c>
    </row>
    <row r="7076" customFormat="1" spans="1:15">
      <c r="A7076">
        <v>9084</v>
      </c>
      <c r="B7076" t="s">
        <v>7266</v>
      </c>
      <c r="C7076" t="str">
        <f>"460102199403262422"</f>
        <v>460102199403262422</v>
      </c>
      <c r="L7076">
        <v>9084</v>
      </c>
      <c r="M7076" t="s">
        <v>7266</v>
      </c>
      <c r="O7076" t="str">
        <f>"460102199403262422"</f>
        <v>460102199403262422</v>
      </c>
    </row>
    <row r="7077" customFormat="1" spans="1:15">
      <c r="A7077">
        <v>9085</v>
      </c>
      <c r="B7077" t="s">
        <v>7267</v>
      </c>
      <c r="C7077" t="str">
        <f>"230121199703240424"</f>
        <v>230121199703240424</v>
      </c>
      <c r="L7077">
        <v>9085</v>
      </c>
      <c r="M7077" t="s">
        <v>7267</v>
      </c>
      <c r="O7077" t="str">
        <f>"230121199703240424"</f>
        <v>230121199703240424</v>
      </c>
    </row>
    <row r="7078" customFormat="1" spans="1:15">
      <c r="A7078">
        <v>9086</v>
      </c>
      <c r="B7078" t="s">
        <v>7268</v>
      </c>
      <c r="C7078" t="str">
        <f>"230921200203290221"</f>
        <v>230921200203290221</v>
      </c>
      <c r="D7078" t="str">
        <f>"248030300628"</f>
        <v>248030300628</v>
      </c>
      <c r="L7078">
        <v>9086</v>
      </c>
      <c r="M7078" t="s">
        <v>7268</v>
      </c>
      <c r="N7078" t="str">
        <f>"248030300628"</f>
        <v>248030300628</v>
      </c>
      <c r="O7078" t="str">
        <f>"230921200203290221"</f>
        <v>230921200203290221</v>
      </c>
    </row>
    <row r="7079" customFormat="1" spans="1:15">
      <c r="A7079">
        <v>9088</v>
      </c>
      <c r="B7079" t="s">
        <v>7269</v>
      </c>
      <c r="C7079" t="str">
        <f>"460006199211011485"</f>
        <v>460006199211011485</v>
      </c>
      <c r="L7079">
        <v>9088</v>
      </c>
      <c r="M7079" t="s">
        <v>7269</v>
      </c>
      <c r="O7079" t="str">
        <f>"460006199211011485"</f>
        <v>460006199211011485</v>
      </c>
    </row>
    <row r="7080" customFormat="1" spans="1:15">
      <c r="A7080">
        <v>9090</v>
      </c>
      <c r="B7080" t="s">
        <v>7270</v>
      </c>
      <c r="C7080" t="str">
        <f>"460027200205040025"</f>
        <v>460027200205040025</v>
      </c>
      <c r="D7080" t="str">
        <f>"248030501620"</f>
        <v>248030501620</v>
      </c>
      <c r="L7080">
        <v>9090</v>
      </c>
      <c r="M7080" t="s">
        <v>7270</v>
      </c>
      <c r="N7080" t="str">
        <f>"248030501620"</f>
        <v>248030501620</v>
      </c>
      <c r="O7080" t="str">
        <f>"460027200205040025"</f>
        <v>460027200205040025</v>
      </c>
    </row>
    <row r="7081" customFormat="1" spans="1:15">
      <c r="A7081">
        <v>9091</v>
      </c>
      <c r="B7081" t="s">
        <v>7271</v>
      </c>
      <c r="C7081" t="str">
        <f>"460033200104034782"</f>
        <v>460033200104034782</v>
      </c>
      <c r="D7081" t="str">
        <f>"248030400404"</f>
        <v>248030400404</v>
      </c>
      <c r="L7081">
        <v>9091</v>
      </c>
      <c r="M7081" t="s">
        <v>7271</v>
      </c>
      <c r="N7081" t="str">
        <f>"248030400404"</f>
        <v>248030400404</v>
      </c>
      <c r="O7081" t="str">
        <f>"460033200104034782"</f>
        <v>460033200104034782</v>
      </c>
    </row>
    <row r="7082" customFormat="1" spans="1:15">
      <c r="A7082">
        <v>9092</v>
      </c>
      <c r="B7082" t="s">
        <v>7272</v>
      </c>
      <c r="C7082" t="str">
        <f>"220822200010076228"</f>
        <v>220822200010076228</v>
      </c>
      <c r="D7082" t="str">
        <f>"248030201805"</f>
        <v>248030201805</v>
      </c>
      <c r="L7082">
        <v>9092</v>
      </c>
      <c r="M7082" t="s">
        <v>7272</v>
      </c>
      <c r="N7082" t="str">
        <f>"248030201805"</f>
        <v>248030201805</v>
      </c>
      <c r="O7082" t="str">
        <f>"220822200010076228"</f>
        <v>220822200010076228</v>
      </c>
    </row>
    <row r="7083" customFormat="1" spans="1:15">
      <c r="A7083">
        <v>9093</v>
      </c>
      <c r="B7083" t="s">
        <v>7273</v>
      </c>
      <c r="C7083" t="str">
        <f>"460103199401040021"</f>
        <v>460103199401040021</v>
      </c>
      <c r="L7083">
        <v>9093</v>
      </c>
      <c r="M7083" t="s">
        <v>7273</v>
      </c>
      <c r="O7083" t="str">
        <f>"460103199401040021"</f>
        <v>460103199401040021</v>
      </c>
    </row>
    <row r="7084" customFormat="1" spans="1:15">
      <c r="A7084">
        <v>9094</v>
      </c>
      <c r="B7084" t="s">
        <v>7274</v>
      </c>
      <c r="C7084" t="str">
        <f>"469023200102150021"</f>
        <v>469023200102150021</v>
      </c>
      <c r="D7084" t="str">
        <f>"248030400108"</f>
        <v>248030400108</v>
      </c>
      <c r="L7084">
        <v>9094</v>
      </c>
      <c r="M7084" t="s">
        <v>7274</v>
      </c>
      <c r="N7084" t="str">
        <f>"248030400108"</f>
        <v>248030400108</v>
      </c>
      <c r="O7084" t="str">
        <f>"469023200102150021"</f>
        <v>469023200102150021</v>
      </c>
    </row>
    <row r="7085" customFormat="1" spans="1:15">
      <c r="A7085">
        <v>9095</v>
      </c>
      <c r="B7085" t="s">
        <v>7275</v>
      </c>
      <c r="C7085" t="str">
        <f>"150924199508202521"</f>
        <v>150924199508202521</v>
      </c>
      <c r="L7085">
        <v>9095</v>
      </c>
      <c r="M7085" t="s">
        <v>7275</v>
      </c>
      <c r="O7085" t="str">
        <f>"150924199508202521"</f>
        <v>150924199508202521</v>
      </c>
    </row>
    <row r="7086" customFormat="1" spans="1:15">
      <c r="A7086">
        <v>9096</v>
      </c>
      <c r="B7086" t="s">
        <v>1712</v>
      </c>
      <c r="C7086" t="str">
        <f>"460200199809212081"</f>
        <v>460200199809212081</v>
      </c>
      <c r="L7086">
        <v>9096</v>
      </c>
      <c r="M7086" t="s">
        <v>1712</v>
      </c>
      <c r="O7086" t="str">
        <f>"460200199809212081"</f>
        <v>460200199809212081</v>
      </c>
    </row>
    <row r="7087" customFormat="1" spans="1:15">
      <c r="A7087">
        <v>9097</v>
      </c>
      <c r="B7087" t="s">
        <v>7276</v>
      </c>
      <c r="C7087" t="str">
        <f>"460007200003254126"</f>
        <v>460007200003254126</v>
      </c>
      <c r="D7087" t="str">
        <f>"248030503720"</f>
        <v>248030503720</v>
      </c>
      <c r="L7087">
        <v>9097</v>
      </c>
      <c r="M7087" t="s">
        <v>7276</v>
      </c>
      <c r="N7087" t="str">
        <f>"248030503720"</f>
        <v>248030503720</v>
      </c>
      <c r="O7087" t="str">
        <f>"460007200003254126"</f>
        <v>460007200003254126</v>
      </c>
    </row>
    <row r="7088" customFormat="1" spans="1:15">
      <c r="A7088">
        <v>9098</v>
      </c>
      <c r="B7088" t="s">
        <v>84</v>
      </c>
      <c r="C7088" t="str">
        <f>"46010320021030152X"</f>
        <v>46010320021030152X</v>
      </c>
      <c r="D7088" t="str">
        <f>"248030501707"</f>
        <v>248030501707</v>
      </c>
      <c r="L7088">
        <v>9098</v>
      </c>
      <c r="M7088" t="s">
        <v>84</v>
      </c>
      <c r="N7088" t="str">
        <f>"248030501707"</f>
        <v>248030501707</v>
      </c>
      <c r="O7088" t="str">
        <f>"46010320021030152X"</f>
        <v>46010320021030152X</v>
      </c>
    </row>
    <row r="7089" customFormat="1" spans="1:15">
      <c r="A7089">
        <v>9099</v>
      </c>
      <c r="B7089" t="s">
        <v>7277</v>
      </c>
      <c r="C7089" t="str">
        <f>"46000719990410228X"</f>
        <v>46000719990410228X</v>
      </c>
      <c r="D7089" t="str">
        <f>"248030103601"</f>
        <v>248030103601</v>
      </c>
      <c r="L7089">
        <v>9099</v>
      </c>
      <c r="M7089" t="s">
        <v>7277</v>
      </c>
      <c r="N7089" t="str">
        <f>"248030103601"</f>
        <v>248030103601</v>
      </c>
      <c r="O7089" t="str">
        <f>"46000719990410228X"</f>
        <v>46000719990410228X</v>
      </c>
    </row>
    <row r="7090" customFormat="1" spans="1:15">
      <c r="A7090">
        <v>9100</v>
      </c>
      <c r="B7090" t="s">
        <v>7278</v>
      </c>
      <c r="C7090" t="str">
        <f>"460031200011061228"</f>
        <v>460031200011061228</v>
      </c>
      <c r="D7090" t="str">
        <f>"248030302010"</f>
        <v>248030302010</v>
      </c>
      <c r="L7090">
        <v>9100</v>
      </c>
      <c r="M7090" t="s">
        <v>7278</v>
      </c>
      <c r="N7090" t="str">
        <f>"248030302010"</f>
        <v>248030302010</v>
      </c>
      <c r="O7090" t="str">
        <f>"460031200011061228"</f>
        <v>460031200011061228</v>
      </c>
    </row>
    <row r="7091" customFormat="1" spans="1:15">
      <c r="A7091">
        <v>9101</v>
      </c>
      <c r="B7091" t="s">
        <v>7279</v>
      </c>
      <c r="C7091" t="str">
        <f>"460104199302201228"</f>
        <v>460104199302201228</v>
      </c>
      <c r="D7091" t="str">
        <f>"248030104020"</f>
        <v>248030104020</v>
      </c>
      <c r="L7091">
        <v>9101</v>
      </c>
      <c r="M7091" t="s">
        <v>7279</v>
      </c>
      <c r="N7091" t="str">
        <f>"248030104020"</f>
        <v>248030104020</v>
      </c>
      <c r="O7091" t="str">
        <f>"460104199302201228"</f>
        <v>460104199302201228</v>
      </c>
    </row>
    <row r="7092" customFormat="1" spans="1:15">
      <c r="A7092">
        <v>9102</v>
      </c>
      <c r="B7092" t="s">
        <v>7280</v>
      </c>
      <c r="C7092" t="str">
        <f>"460034199806306325"</f>
        <v>460034199806306325</v>
      </c>
      <c r="L7092">
        <v>9102</v>
      </c>
      <c r="M7092" t="s">
        <v>7280</v>
      </c>
      <c r="O7092" t="str">
        <f>"460034199806306325"</f>
        <v>460034199806306325</v>
      </c>
    </row>
    <row r="7093" customFormat="1" spans="1:15">
      <c r="A7093">
        <v>9103</v>
      </c>
      <c r="B7093" t="s">
        <v>7281</v>
      </c>
      <c r="C7093" t="str">
        <f>"460006200010081626"</f>
        <v>460006200010081626</v>
      </c>
      <c r="L7093">
        <v>9103</v>
      </c>
      <c r="M7093" t="s">
        <v>7281</v>
      </c>
      <c r="O7093" t="str">
        <f>"460006200010081626"</f>
        <v>460006200010081626</v>
      </c>
    </row>
    <row r="7094" customFormat="1" spans="1:15">
      <c r="A7094">
        <v>9104</v>
      </c>
      <c r="B7094" t="s">
        <v>7282</v>
      </c>
      <c r="C7094" t="str">
        <f>"469007200009064970"</f>
        <v>469007200009064970</v>
      </c>
      <c r="D7094" t="str">
        <f>"248030301430"</f>
        <v>248030301430</v>
      </c>
      <c r="L7094">
        <v>9104</v>
      </c>
      <c r="M7094" t="s">
        <v>7282</v>
      </c>
      <c r="N7094" t="str">
        <f>"248030301430"</f>
        <v>248030301430</v>
      </c>
      <c r="O7094" t="str">
        <f>"469007200009064970"</f>
        <v>469007200009064970</v>
      </c>
    </row>
    <row r="7095" customFormat="1" spans="1:15">
      <c r="A7095">
        <v>9107</v>
      </c>
      <c r="B7095" t="s">
        <v>7283</v>
      </c>
      <c r="C7095" t="str">
        <f>"62290120000401053X"</f>
        <v>62290120000401053X</v>
      </c>
      <c r="D7095" t="str">
        <f>"248030300627"</f>
        <v>248030300627</v>
      </c>
      <c r="L7095">
        <v>9107</v>
      </c>
      <c r="M7095" t="s">
        <v>7283</v>
      </c>
      <c r="N7095" t="str">
        <f>"248030300627"</f>
        <v>248030300627</v>
      </c>
      <c r="O7095" t="str">
        <f>"62290120000401053X"</f>
        <v>62290120000401053X</v>
      </c>
    </row>
    <row r="7096" customFormat="1" spans="1:15">
      <c r="A7096">
        <v>9109</v>
      </c>
      <c r="B7096" t="s">
        <v>811</v>
      </c>
      <c r="C7096" t="str">
        <f>"469021199711120022"</f>
        <v>469021199711120022</v>
      </c>
      <c r="D7096" t="str">
        <f>"248030300202"</f>
        <v>248030300202</v>
      </c>
      <c r="L7096">
        <v>9109</v>
      </c>
      <c r="M7096" t="s">
        <v>811</v>
      </c>
      <c r="N7096" t="str">
        <f>"248030300202"</f>
        <v>248030300202</v>
      </c>
      <c r="O7096" t="str">
        <f>"469021199711120022"</f>
        <v>469021199711120022</v>
      </c>
    </row>
    <row r="7097" customFormat="1" spans="1:15">
      <c r="A7097">
        <v>9111</v>
      </c>
      <c r="B7097" t="s">
        <v>7284</v>
      </c>
      <c r="C7097" t="str">
        <f>"33038120020225412X"</f>
        <v>33038120020225412X</v>
      </c>
      <c r="D7097" t="str">
        <f>"248030502826"</f>
        <v>248030502826</v>
      </c>
      <c r="L7097">
        <v>9111</v>
      </c>
      <c r="M7097" t="s">
        <v>7284</v>
      </c>
      <c r="N7097" t="str">
        <f>"248030502826"</f>
        <v>248030502826</v>
      </c>
      <c r="O7097" t="str">
        <f>"33038120020225412X"</f>
        <v>33038120020225412X</v>
      </c>
    </row>
    <row r="7098" customFormat="1" spans="1:15">
      <c r="A7098">
        <v>9112</v>
      </c>
      <c r="B7098" t="s">
        <v>7285</v>
      </c>
      <c r="C7098" t="str">
        <f>"469007200203214987"</f>
        <v>469007200203214987</v>
      </c>
      <c r="D7098" t="str">
        <f>"248030101715"</f>
        <v>248030101715</v>
      </c>
      <c r="L7098">
        <v>9112</v>
      </c>
      <c r="M7098" t="s">
        <v>7285</v>
      </c>
      <c r="N7098" t="str">
        <f>"248030101715"</f>
        <v>248030101715</v>
      </c>
      <c r="O7098" t="str">
        <f>"469007200203214987"</f>
        <v>469007200203214987</v>
      </c>
    </row>
    <row r="7099" customFormat="1" spans="1:15">
      <c r="A7099">
        <v>9113</v>
      </c>
      <c r="B7099" t="s">
        <v>7286</v>
      </c>
      <c r="C7099" t="str">
        <f>"469007200205245883"</f>
        <v>469007200205245883</v>
      </c>
      <c r="D7099" t="str">
        <f>"248030400501"</f>
        <v>248030400501</v>
      </c>
      <c r="L7099">
        <v>9113</v>
      </c>
      <c r="M7099" t="s">
        <v>7286</v>
      </c>
      <c r="N7099" t="str">
        <f>"248030400501"</f>
        <v>248030400501</v>
      </c>
      <c r="O7099" t="str">
        <f>"469007200205245883"</f>
        <v>469007200205245883</v>
      </c>
    </row>
    <row r="7100" customFormat="1" spans="1:15">
      <c r="A7100">
        <v>9114</v>
      </c>
      <c r="B7100" t="s">
        <v>7287</v>
      </c>
      <c r="C7100" t="str">
        <f>"460006199007208424"</f>
        <v>460006199007208424</v>
      </c>
      <c r="D7100" t="str">
        <f>"248030502118"</f>
        <v>248030502118</v>
      </c>
      <c r="L7100">
        <v>9114</v>
      </c>
      <c r="M7100" t="s">
        <v>7287</v>
      </c>
      <c r="N7100" t="str">
        <f>"248030502118"</f>
        <v>248030502118</v>
      </c>
      <c r="O7100" t="str">
        <f>"460006199007208424"</f>
        <v>460006199007208424</v>
      </c>
    </row>
    <row r="7101" customFormat="1" spans="1:15">
      <c r="A7101">
        <v>9118</v>
      </c>
      <c r="B7101" t="s">
        <v>7288</v>
      </c>
      <c r="C7101" t="str">
        <f>"460004199011114444"</f>
        <v>460004199011114444</v>
      </c>
      <c r="D7101" t="str">
        <f>"248030403611"</f>
        <v>248030403611</v>
      </c>
      <c r="L7101">
        <v>9118</v>
      </c>
      <c r="M7101" t="s">
        <v>7288</v>
      </c>
      <c r="N7101" t="str">
        <f>"248030403611"</f>
        <v>248030403611</v>
      </c>
      <c r="O7101" t="str">
        <f>"460004199011114444"</f>
        <v>460004199011114444</v>
      </c>
    </row>
    <row r="7102" customFormat="1" spans="1:15">
      <c r="A7102">
        <v>9120</v>
      </c>
      <c r="B7102" t="s">
        <v>7289</v>
      </c>
      <c r="C7102" t="str">
        <f>"460031200212306826"</f>
        <v>460031200212306826</v>
      </c>
      <c r="D7102" t="str">
        <f>"248030103720"</f>
        <v>248030103720</v>
      </c>
      <c r="L7102">
        <v>9120</v>
      </c>
      <c r="M7102" t="s">
        <v>7289</v>
      </c>
      <c r="N7102" t="str">
        <f>"248030103720"</f>
        <v>248030103720</v>
      </c>
      <c r="O7102" t="str">
        <f>"460031200212306826"</f>
        <v>460031200212306826</v>
      </c>
    </row>
    <row r="7103" customFormat="1" spans="1:15">
      <c r="A7103">
        <v>9121</v>
      </c>
      <c r="B7103" t="s">
        <v>7290</v>
      </c>
      <c r="C7103" t="str">
        <f>"460002199902083423"</f>
        <v>460002199902083423</v>
      </c>
      <c r="L7103">
        <v>9121</v>
      </c>
      <c r="M7103" t="s">
        <v>7290</v>
      </c>
      <c r="O7103" t="str">
        <f>"460002199902083423"</f>
        <v>460002199902083423</v>
      </c>
    </row>
    <row r="7104" customFormat="1" spans="1:15">
      <c r="A7104">
        <v>9123</v>
      </c>
      <c r="B7104" t="s">
        <v>7291</v>
      </c>
      <c r="C7104" t="str">
        <f>"460031199209184842"</f>
        <v>460031199209184842</v>
      </c>
      <c r="D7104" t="str">
        <f>"248030404206"</f>
        <v>248030404206</v>
      </c>
      <c r="L7104">
        <v>9123</v>
      </c>
      <c r="M7104" t="s">
        <v>7291</v>
      </c>
      <c r="N7104" t="str">
        <f>"248030404206"</f>
        <v>248030404206</v>
      </c>
      <c r="O7104" t="str">
        <f>"460031199209184842"</f>
        <v>460031199209184842</v>
      </c>
    </row>
    <row r="7105" customFormat="1" spans="1:15">
      <c r="A7105">
        <v>9124</v>
      </c>
      <c r="B7105" t="s">
        <v>7292</v>
      </c>
      <c r="C7105" t="str">
        <f>"654324200108283048"</f>
        <v>654324200108283048</v>
      </c>
      <c r="D7105" t="str">
        <f>"248030402613"</f>
        <v>248030402613</v>
      </c>
      <c r="L7105">
        <v>9124</v>
      </c>
      <c r="M7105" t="s">
        <v>7292</v>
      </c>
      <c r="N7105" t="str">
        <f>"248030402613"</f>
        <v>248030402613</v>
      </c>
      <c r="O7105" t="str">
        <f>"654324200108283048"</f>
        <v>654324200108283048</v>
      </c>
    </row>
    <row r="7106" customFormat="1" spans="1:15">
      <c r="A7106">
        <v>9126</v>
      </c>
      <c r="B7106" t="s">
        <v>7293</v>
      </c>
      <c r="C7106" t="str">
        <f>"469024200011020025"</f>
        <v>469024200011020025</v>
      </c>
      <c r="L7106">
        <v>9126</v>
      </c>
      <c r="M7106" t="s">
        <v>7293</v>
      </c>
      <c r="O7106" t="str">
        <f>"469024200011020025"</f>
        <v>469024200011020025</v>
      </c>
    </row>
    <row r="7107" customFormat="1" spans="1:15">
      <c r="A7107">
        <v>9127</v>
      </c>
      <c r="B7107" t="s">
        <v>7294</v>
      </c>
      <c r="C7107" t="str">
        <f>"410821199207231520"</f>
        <v>410821199207231520</v>
      </c>
      <c r="D7107" t="str">
        <f>"248030503301"</f>
        <v>248030503301</v>
      </c>
      <c r="L7107">
        <v>9127</v>
      </c>
      <c r="M7107" t="s">
        <v>7294</v>
      </c>
      <c r="N7107" t="str">
        <f>"248030503301"</f>
        <v>248030503301</v>
      </c>
      <c r="O7107" t="str">
        <f>"410821199207231520"</f>
        <v>410821199207231520</v>
      </c>
    </row>
    <row r="7108" customFormat="1" spans="1:15">
      <c r="A7108">
        <v>9128</v>
      </c>
      <c r="B7108" t="s">
        <v>7295</v>
      </c>
      <c r="C7108" t="str">
        <f>"460104199106170620"</f>
        <v>460104199106170620</v>
      </c>
      <c r="D7108" t="str">
        <f>"248030103104"</f>
        <v>248030103104</v>
      </c>
      <c r="L7108">
        <v>9128</v>
      </c>
      <c r="M7108" t="s">
        <v>7295</v>
      </c>
      <c r="N7108" t="str">
        <f>"248030103104"</f>
        <v>248030103104</v>
      </c>
      <c r="O7108" t="str">
        <f>"460104199106170620"</f>
        <v>460104199106170620</v>
      </c>
    </row>
    <row r="7109" customFormat="1" spans="1:15">
      <c r="A7109">
        <v>9132</v>
      </c>
      <c r="B7109" t="s">
        <v>7296</v>
      </c>
      <c r="C7109" t="str">
        <f>"410222198411294018"</f>
        <v>410222198411294018</v>
      </c>
      <c r="D7109" t="str">
        <f>"248030300314"</f>
        <v>248030300314</v>
      </c>
      <c r="L7109">
        <v>9132</v>
      </c>
      <c r="M7109" t="s">
        <v>7296</v>
      </c>
      <c r="N7109" t="str">
        <f>"248030300314"</f>
        <v>248030300314</v>
      </c>
      <c r="O7109" t="str">
        <f>"410222198411294018"</f>
        <v>410222198411294018</v>
      </c>
    </row>
    <row r="7110" customFormat="1" spans="1:15">
      <c r="A7110">
        <v>9133</v>
      </c>
      <c r="B7110" t="s">
        <v>7297</v>
      </c>
      <c r="C7110" t="str">
        <f>"469023199903062923"</f>
        <v>469023199903062923</v>
      </c>
      <c r="L7110">
        <v>9133</v>
      </c>
      <c r="M7110" t="s">
        <v>7297</v>
      </c>
      <c r="O7110" t="str">
        <f>"469023199903062923"</f>
        <v>469023199903062923</v>
      </c>
    </row>
    <row r="7111" customFormat="1" spans="1:15">
      <c r="A7111">
        <v>9135</v>
      </c>
      <c r="B7111" t="s">
        <v>7298</v>
      </c>
      <c r="C7111" t="str">
        <f>"460032199210207681"</f>
        <v>460032199210207681</v>
      </c>
      <c r="L7111">
        <v>9135</v>
      </c>
      <c r="M7111" t="s">
        <v>7298</v>
      </c>
      <c r="O7111" t="str">
        <f>"460032199210207681"</f>
        <v>460032199210207681</v>
      </c>
    </row>
    <row r="7112" customFormat="1" spans="1:15">
      <c r="A7112">
        <v>9138</v>
      </c>
      <c r="B7112" t="s">
        <v>7299</v>
      </c>
      <c r="C7112" t="str">
        <f>"450923199305135968"</f>
        <v>450923199305135968</v>
      </c>
      <c r="D7112" t="str">
        <f>"248030100202"</f>
        <v>248030100202</v>
      </c>
      <c r="L7112">
        <v>9138</v>
      </c>
      <c r="M7112" t="s">
        <v>7299</v>
      </c>
      <c r="N7112" t="str">
        <f>"248030100202"</f>
        <v>248030100202</v>
      </c>
      <c r="O7112" t="str">
        <f>"450923199305135968"</f>
        <v>450923199305135968</v>
      </c>
    </row>
    <row r="7113" customFormat="1" spans="1:15">
      <c r="A7113">
        <v>9139</v>
      </c>
      <c r="B7113" t="s">
        <v>7300</v>
      </c>
      <c r="C7113" t="str">
        <f>"460007199602059263"</f>
        <v>460007199602059263</v>
      </c>
      <c r="D7113" t="str">
        <f>"248030403609"</f>
        <v>248030403609</v>
      </c>
      <c r="L7113">
        <v>9139</v>
      </c>
      <c r="M7113" t="s">
        <v>7300</v>
      </c>
      <c r="N7113" t="str">
        <f>"248030403609"</f>
        <v>248030403609</v>
      </c>
      <c r="O7113" t="str">
        <f>"460007199602059263"</f>
        <v>460007199602059263</v>
      </c>
    </row>
    <row r="7114" customFormat="1" spans="1:15">
      <c r="A7114">
        <v>9141</v>
      </c>
      <c r="B7114" t="s">
        <v>7301</v>
      </c>
      <c r="C7114" t="str">
        <f>"460006199712067524"</f>
        <v>460006199712067524</v>
      </c>
      <c r="D7114" t="str">
        <f>"248030503128"</f>
        <v>248030503128</v>
      </c>
      <c r="L7114">
        <v>9141</v>
      </c>
      <c r="M7114" t="s">
        <v>7301</v>
      </c>
      <c r="N7114" t="str">
        <f>"248030503128"</f>
        <v>248030503128</v>
      </c>
      <c r="O7114" t="str">
        <f>"460006199712067524"</f>
        <v>460006199712067524</v>
      </c>
    </row>
    <row r="7115" customFormat="1" spans="1:15">
      <c r="A7115">
        <v>9142</v>
      </c>
      <c r="B7115" t="s">
        <v>7302</v>
      </c>
      <c r="C7115" t="str">
        <f>"460022199212122718"</f>
        <v>460022199212122718</v>
      </c>
      <c r="D7115" t="str">
        <f>"248030201408"</f>
        <v>248030201408</v>
      </c>
      <c r="L7115">
        <v>9142</v>
      </c>
      <c r="M7115" t="s">
        <v>7302</v>
      </c>
      <c r="N7115" t="str">
        <f>"248030201408"</f>
        <v>248030201408</v>
      </c>
      <c r="O7115" t="str">
        <f>"460022199212122718"</f>
        <v>460022199212122718</v>
      </c>
    </row>
    <row r="7116" customFormat="1" spans="1:15">
      <c r="A7116">
        <v>9146</v>
      </c>
      <c r="B7116" t="s">
        <v>7303</v>
      </c>
      <c r="C7116" t="str">
        <f>"440882199801135724"</f>
        <v>440882199801135724</v>
      </c>
      <c r="L7116">
        <v>9146</v>
      </c>
      <c r="M7116" t="s">
        <v>7303</v>
      </c>
      <c r="O7116" t="str">
        <f>"440882199801135724"</f>
        <v>440882199801135724</v>
      </c>
    </row>
    <row r="7117" customFormat="1" spans="1:15">
      <c r="A7117">
        <v>9147</v>
      </c>
      <c r="B7117" t="s">
        <v>7304</v>
      </c>
      <c r="C7117" t="str">
        <f>"460030198809160026"</f>
        <v>460030198809160026</v>
      </c>
      <c r="D7117" t="str">
        <f>"248030500314"</f>
        <v>248030500314</v>
      </c>
      <c r="L7117">
        <v>9147</v>
      </c>
      <c r="M7117" t="s">
        <v>7304</v>
      </c>
      <c r="N7117" t="str">
        <f>"248030500314"</f>
        <v>248030500314</v>
      </c>
      <c r="O7117" t="str">
        <f>"460030198809160026"</f>
        <v>460030198809160026</v>
      </c>
    </row>
    <row r="7118" customFormat="1" spans="1:15">
      <c r="A7118">
        <v>9148</v>
      </c>
      <c r="B7118" t="s">
        <v>7305</v>
      </c>
      <c r="C7118" t="str">
        <f>"469007199902087280"</f>
        <v>469007199902087280</v>
      </c>
      <c r="D7118" t="str">
        <f>"248030101910"</f>
        <v>248030101910</v>
      </c>
      <c r="L7118">
        <v>9148</v>
      </c>
      <c r="M7118" t="s">
        <v>7305</v>
      </c>
      <c r="N7118" t="str">
        <f>"248030101910"</f>
        <v>248030101910</v>
      </c>
      <c r="O7118" t="str">
        <f>"469007199902087280"</f>
        <v>469007199902087280</v>
      </c>
    </row>
    <row r="7119" customFormat="1" spans="1:15">
      <c r="A7119">
        <v>9149</v>
      </c>
      <c r="B7119" t="s">
        <v>7306</v>
      </c>
      <c r="C7119" t="str">
        <f>"460006199301082316"</f>
        <v>460006199301082316</v>
      </c>
      <c r="D7119" t="str">
        <f>"248030400411"</f>
        <v>248030400411</v>
      </c>
      <c r="L7119">
        <v>9149</v>
      </c>
      <c r="M7119" t="s">
        <v>7306</v>
      </c>
      <c r="N7119" t="str">
        <f>"248030400411"</f>
        <v>248030400411</v>
      </c>
      <c r="O7119" t="str">
        <f>"460006199301082316"</f>
        <v>460006199301082316</v>
      </c>
    </row>
    <row r="7120" customFormat="1" spans="1:15">
      <c r="A7120">
        <v>9150</v>
      </c>
      <c r="B7120" t="s">
        <v>7307</v>
      </c>
      <c r="C7120" t="str">
        <f>"460006200212147822"</f>
        <v>460006200212147822</v>
      </c>
      <c r="D7120" t="str">
        <f>"248030402617"</f>
        <v>248030402617</v>
      </c>
      <c r="L7120">
        <v>9150</v>
      </c>
      <c r="M7120" t="s">
        <v>7307</v>
      </c>
      <c r="N7120" t="str">
        <f>"248030402617"</f>
        <v>248030402617</v>
      </c>
      <c r="O7120" t="str">
        <f>"460006200212147822"</f>
        <v>460006200212147822</v>
      </c>
    </row>
    <row r="7121" customFormat="1" spans="1:15">
      <c r="A7121">
        <v>9152</v>
      </c>
      <c r="B7121" t="s">
        <v>7308</v>
      </c>
      <c r="C7121" t="str">
        <f>"460005199901082129"</f>
        <v>460005199901082129</v>
      </c>
      <c r="L7121">
        <v>9152</v>
      </c>
      <c r="M7121" t="s">
        <v>7308</v>
      </c>
      <c r="O7121" t="str">
        <f>"460005199901082129"</f>
        <v>460005199901082129</v>
      </c>
    </row>
    <row r="7122" customFormat="1" spans="1:15">
      <c r="A7122">
        <v>9153</v>
      </c>
      <c r="B7122" t="s">
        <v>7309</v>
      </c>
      <c r="C7122" t="str">
        <f>"440825199208281184"</f>
        <v>440825199208281184</v>
      </c>
      <c r="L7122">
        <v>9153</v>
      </c>
      <c r="M7122" t="s">
        <v>7309</v>
      </c>
      <c r="O7122" t="str">
        <f>"440825199208281184"</f>
        <v>440825199208281184</v>
      </c>
    </row>
    <row r="7123" customFormat="1" spans="1:15">
      <c r="A7123">
        <v>9155</v>
      </c>
      <c r="B7123" t="s">
        <v>7310</v>
      </c>
      <c r="C7123" t="str">
        <f>"460031200301225227"</f>
        <v>460031200301225227</v>
      </c>
      <c r="D7123" t="str">
        <f>"248030503630"</f>
        <v>248030503630</v>
      </c>
      <c r="L7123">
        <v>9155</v>
      </c>
      <c r="M7123" t="s">
        <v>7310</v>
      </c>
      <c r="N7123" t="str">
        <f>"248030503630"</f>
        <v>248030503630</v>
      </c>
      <c r="O7123" t="str">
        <f>"460031200301225227"</f>
        <v>460031200301225227</v>
      </c>
    </row>
    <row r="7124" customFormat="1" spans="1:15">
      <c r="A7124">
        <v>9156</v>
      </c>
      <c r="B7124" t="s">
        <v>7311</v>
      </c>
      <c r="C7124" t="str">
        <f>"46010220010124331X"</f>
        <v>46010220010124331X</v>
      </c>
      <c r="L7124">
        <v>9156</v>
      </c>
      <c r="M7124" t="s">
        <v>7311</v>
      </c>
      <c r="O7124" t="str">
        <f>"46010220010124331X"</f>
        <v>46010220010124331X</v>
      </c>
    </row>
    <row r="7125" customFormat="1" spans="1:15">
      <c r="A7125">
        <v>9157</v>
      </c>
      <c r="B7125" t="s">
        <v>7312</v>
      </c>
      <c r="C7125" t="str">
        <f>"46002819901027202X"</f>
        <v>46002819901027202X</v>
      </c>
      <c r="L7125">
        <v>9157</v>
      </c>
      <c r="M7125" t="s">
        <v>7312</v>
      </c>
      <c r="O7125" t="str">
        <f>"46002819901027202X"</f>
        <v>46002819901027202X</v>
      </c>
    </row>
    <row r="7126" customFormat="1" spans="1:15">
      <c r="A7126">
        <v>9158</v>
      </c>
      <c r="B7126" t="s">
        <v>3357</v>
      </c>
      <c r="C7126" t="str">
        <f>"220881199905170922"</f>
        <v>220881199905170922</v>
      </c>
      <c r="L7126">
        <v>9158</v>
      </c>
      <c r="M7126" t="s">
        <v>3357</v>
      </c>
      <c r="O7126" t="str">
        <f>"220881199905170922"</f>
        <v>220881199905170922</v>
      </c>
    </row>
    <row r="7127" customFormat="1" spans="1:15">
      <c r="A7127">
        <v>9159</v>
      </c>
      <c r="B7127" t="s">
        <v>7313</v>
      </c>
      <c r="C7127" t="str">
        <f>"460027200209230029"</f>
        <v>460027200209230029</v>
      </c>
      <c r="D7127" t="str">
        <f>"248030302128"</f>
        <v>248030302128</v>
      </c>
      <c r="L7127">
        <v>9159</v>
      </c>
      <c r="M7127" t="s">
        <v>7313</v>
      </c>
      <c r="N7127" t="str">
        <f>"248030302128"</f>
        <v>248030302128</v>
      </c>
      <c r="O7127" t="str">
        <f>"460027200209230029"</f>
        <v>460027200209230029</v>
      </c>
    </row>
    <row r="7128" customFormat="1" spans="1:15">
      <c r="A7128">
        <v>9160</v>
      </c>
      <c r="B7128" t="s">
        <v>7314</v>
      </c>
      <c r="C7128" t="str">
        <f>"130602200203150035"</f>
        <v>130602200203150035</v>
      </c>
      <c r="D7128" t="str">
        <f>"248030203307"</f>
        <v>248030203307</v>
      </c>
      <c r="L7128">
        <v>9160</v>
      </c>
      <c r="M7128" t="s">
        <v>7314</v>
      </c>
      <c r="N7128" t="str">
        <f>"248030203307"</f>
        <v>248030203307</v>
      </c>
      <c r="O7128" t="str">
        <f>"130602200203150035"</f>
        <v>130602200203150035</v>
      </c>
    </row>
    <row r="7129" customFormat="1" spans="1:15">
      <c r="A7129">
        <v>9162</v>
      </c>
      <c r="B7129" t="s">
        <v>7315</v>
      </c>
      <c r="C7129" t="str">
        <f>"460028198903122841"</f>
        <v>460028198903122841</v>
      </c>
      <c r="L7129">
        <v>9162</v>
      </c>
      <c r="M7129" t="s">
        <v>7315</v>
      </c>
      <c r="O7129" t="str">
        <f>"460028198903122841"</f>
        <v>460028198903122841</v>
      </c>
    </row>
    <row r="7130" customFormat="1" spans="1:15">
      <c r="A7130">
        <v>9163</v>
      </c>
      <c r="B7130" t="s">
        <v>7316</v>
      </c>
      <c r="C7130" t="str">
        <f>"440825199211220323"</f>
        <v>440825199211220323</v>
      </c>
      <c r="L7130">
        <v>9163</v>
      </c>
      <c r="M7130" t="s">
        <v>7316</v>
      </c>
      <c r="O7130" t="str">
        <f>"440825199211220323"</f>
        <v>440825199211220323</v>
      </c>
    </row>
    <row r="7131" customFormat="1" spans="1:15">
      <c r="A7131">
        <v>9164</v>
      </c>
      <c r="B7131" t="s">
        <v>7317</v>
      </c>
      <c r="C7131" t="str">
        <f>"460033200206023224"</f>
        <v>460033200206023224</v>
      </c>
      <c r="D7131" t="str">
        <f>"248030103913"</f>
        <v>248030103913</v>
      </c>
      <c r="L7131">
        <v>9164</v>
      </c>
      <c r="M7131" t="s">
        <v>7317</v>
      </c>
      <c r="N7131" t="str">
        <f>"248030103913"</f>
        <v>248030103913</v>
      </c>
      <c r="O7131" t="str">
        <f>"460033200206023224"</f>
        <v>460033200206023224</v>
      </c>
    </row>
    <row r="7132" customFormat="1" spans="1:15">
      <c r="A7132">
        <v>9166</v>
      </c>
      <c r="B7132" t="s">
        <v>3698</v>
      </c>
      <c r="C7132" t="str">
        <f>"51012219881114288X"</f>
        <v>51012219881114288X</v>
      </c>
      <c r="L7132">
        <v>9166</v>
      </c>
      <c r="M7132" t="s">
        <v>3698</v>
      </c>
      <c r="O7132" t="str">
        <f>"51012219881114288X"</f>
        <v>51012219881114288X</v>
      </c>
    </row>
    <row r="7133" customFormat="1" spans="1:15">
      <c r="A7133">
        <v>9167</v>
      </c>
      <c r="B7133" t="s">
        <v>7318</v>
      </c>
      <c r="C7133" t="str">
        <f>"460003200112096627"</f>
        <v>460003200112096627</v>
      </c>
      <c r="D7133" t="str">
        <f>"248030501107"</f>
        <v>248030501107</v>
      </c>
      <c r="L7133">
        <v>9167</v>
      </c>
      <c r="M7133" t="s">
        <v>7318</v>
      </c>
      <c r="N7133" t="str">
        <f>"248030501107"</f>
        <v>248030501107</v>
      </c>
      <c r="O7133" t="str">
        <f>"460003200112096627"</f>
        <v>460003200112096627</v>
      </c>
    </row>
    <row r="7134" customFormat="1" spans="1:15">
      <c r="A7134">
        <v>9169</v>
      </c>
      <c r="B7134" t="s">
        <v>7319</v>
      </c>
      <c r="C7134" t="str">
        <f>"460033199805093886"</f>
        <v>460033199805093886</v>
      </c>
      <c r="D7134" t="str">
        <f>"248030301320"</f>
        <v>248030301320</v>
      </c>
      <c r="L7134">
        <v>9169</v>
      </c>
      <c r="M7134" t="s">
        <v>7319</v>
      </c>
      <c r="N7134" t="str">
        <f>"248030301320"</f>
        <v>248030301320</v>
      </c>
      <c r="O7134" t="str">
        <f>"460033199805093886"</f>
        <v>460033199805093886</v>
      </c>
    </row>
    <row r="7135" customFormat="1" spans="1:15">
      <c r="A7135">
        <v>9170</v>
      </c>
      <c r="B7135" t="s">
        <v>7320</v>
      </c>
      <c r="C7135" t="str">
        <f>"460028200103202421"</f>
        <v>460028200103202421</v>
      </c>
      <c r="L7135">
        <v>9170</v>
      </c>
      <c r="M7135" t="s">
        <v>7320</v>
      </c>
      <c r="O7135" t="str">
        <f>"460028200103202421"</f>
        <v>460028200103202421</v>
      </c>
    </row>
    <row r="7136" customFormat="1" spans="1:15">
      <c r="A7136">
        <v>9171</v>
      </c>
      <c r="B7136" t="s">
        <v>7321</v>
      </c>
      <c r="C7136" t="str">
        <f>"460028199908238020"</f>
        <v>460028199908238020</v>
      </c>
      <c r="L7136">
        <v>9171</v>
      </c>
      <c r="M7136" t="s">
        <v>7321</v>
      </c>
      <c r="O7136" t="str">
        <f>"460028199908238020"</f>
        <v>460028199908238020</v>
      </c>
    </row>
    <row r="7137" customFormat="1" spans="1:15">
      <c r="A7137">
        <v>9172</v>
      </c>
      <c r="B7137" t="s">
        <v>7322</v>
      </c>
      <c r="C7137" t="str">
        <f>"230306199006245323"</f>
        <v>230306199006245323</v>
      </c>
      <c r="L7137">
        <v>9172</v>
      </c>
      <c r="M7137" t="s">
        <v>7322</v>
      </c>
      <c r="O7137" t="str">
        <f>"230306199006245323"</f>
        <v>230306199006245323</v>
      </c>
    </row>
    <row r="7138" customFormat="1" spans="1:15">
      <c r="A7138">
        <v>9173</v>
      </c>
      <c r="B7138" t="s">
        <v>7323</v>
      </c>
      <c r="C7138" t="str">
        <f>"430523198907040026"</f>
        <v>430523198907040026</v>
      </c>
      <c r="D7138" t="str">
        <f>"248030502511"</f>
        <v>248030502511</v>
      </c>
      <c r="L7138">
        <v>9173</v>
      </c>
      <c r="M7138" t="s">
        <v>7323</v>
      </c>
      <c r="N7138" t="str">
        <f>"248030502511"</f>
        <v>248030502511</v>
      </c>
      <c r="O7138" t="str">
        <f>"430523198907040026"</f>
        <v>430523198907040026</v>
      </c>
    </row>
    <row r="7139" customFormat="1" spans="1:15">
      <c r="A7139">
        <v>9176</v>
      </c>
      <c r="B7139" t="s">
        <v>5844</v>
      </c>
      <c r="C7139" t="str">
        <f>"142625199904251325"</f>
        <v>142625199904251325</v>
      </c>
      <c r="D7139" t="str">
        <f>"248030403001"</f>
        <v>248030403001</v>
      </c>
      <c r="L7139">
        <v>9176</v>
      </c>
      <c r="M7139" t="s">
        <v>5844</v>
      </c>
      <c r="N7139" t="str">
        <f>"248030403001"</f>
        <v>248030403001</v>
      </c>
      <c r="O7139" t="str">
        <f>"142625199904251325"</f>
        <v>142625199904251325</v>
      </c>
    </row>
    <row r="7140" customFormat="1" spans="1:15">
      <c r="A7140">
        <v>9177</v>
      </c>
      <c r="B7140" t="s">
        <v>7324</v>
      </c>
      <c r="C7140" t="str">
        <f>"460105200204215919"</f>
        <v>460105200204215919</v>
      </c>
      <c r="D7140" t="str">
        <f>"248030202121"</f>
        <v>248030202121</v>
      </c>
      <c r="L7140">
        <v>9177</v>
      </c>
      <c r="M7140" t="s">
        <v>7324</v>
      </c>
      <c r="N7140" t="str">
        <f>"248030202121"</f>
        <v>248030202121</v>
      </c>
      <c r="O7140" t="str">
        <f>"460105200204215919"</f>
        <v>460105200204215919</v>
      </c>
    </row>
    <row r="7141" customFormat="1" spans="1:15">
      <c r="A7141">
        <v>9178</v>
      </c>
      <c r="B7141" t="s">
        <v>5183</v>
      </c>
      <c r="C7141" t="str">
        <f>"46002719910727202X"</f>
        <v>46002719910727202X</v>
      </c>
      <c r="D7141" t="str">
        <f>"248030400210"</f>
        <v>248030400210</v>
      </c>
      <c r="L7141">
        <v>9178</v>
      </c>
      <c r="M7141" t="s">
        <v>5183</v>
      </c>
      <c r="N7141" t="str">
        <f>"248030400210"</f>
        <v>248030400210</v>
      </c>
      <c r="O7141" t="str">
        <f>"46002719910727202X"</f>
        <v>46002719910727202X</v>
      </c>
    </row>
    <row r="7142" customFormat="1" spans="1:15">
      <c r="A7142">
        <v>9179</v>
      </c>
      <c r="B7142" t="s">
        <v>7325</v>
      </c>
      <c r="C7142" t="str">
        <f>"46002719911015135X"</f>
        <v>46002719911015135X</v>
      </c>
      <c r="D7142" t="str">
        <f>"248030201014"</f>
        <v>248030201014</v>
      </c>
      <c r="L7142">
        <v>9179</v>
      </c>
      <c r="M7142" t="s">
        <v>7325</v>
      </c>
      <c r="N7142" t="str">
        <f>"248030201014"</f>
        <v>248030201014</v>
      </c>
      <c r="O7142" t="str">
        <f>"46002719911015135X"</f>
        <v>46002719911015135X</v>
      </c>
    </row>
    <row r="7143" customFormat="1" spans="1:15">
      <c r="A7143">
        <v>9180</v>
      </c>
      <c r="B7143" t="s">
        <v>7326</v>
      </c>
      <c r="C7143" t="str">
        <f>"321282199209120049"</f>
        <v>321282199209120049</v>
      </c>
      <c r="D7143" t="str">
        <f>"248030504227"</f>
        <v>248030504227</v>
      </c>
      <c r="L7143">
        <v>9180</v>
      </c>
      <c r="M7143" t="s">
        <v>7326</v>
      </c>
      <c r="N7143" t="str">
        <f>"248030504227"</f>
        <v>248030504227</v>
      </c>
      <c r="O7143" t="str">
        <f>"321282199209120049"</f>
        <v>321282199209120049</v>
      </c>
    </row>
    <row r="7144" customFormat="1" spans="1:15">
      <c r="A7144">
        <v>9181</v>
      </c>
      <c r="B7144" t="s">
        <v>7327</v>
      </c>
      <c r="C7144" t="str">
        <f>"362202199012044675"</f>
        <v>362202199012044675</v>
      </c>
      <c r="L7144">
        <v>9181</v>
      </c>
      <c r="M7144" t="s">
        <v>7327</v>
      </c>
      <c r="O7144" t="str">
        <f>"362202199012044675"</f>
        <v>362202199012044675</v>
      </c>
    </row>
    <row r="7145" customFormat="1" spans="1:15">
      <c r="A7145">
        <v>9182</v>
      </c>
      <c r="B7145" t="s">
        <v>7328</v>
      </c>
      <c r="C7145" t="str">
        <f>"460004200107123228"</f>
        <v>460004200107123228</v>
      </c>
      <c r="D7145" t="str">
        <f>"248030301202"</f>
        <v>248030301202</v>
      </c>
      <c r="L7145">
        <v>9182</v>
      </c>
      <c r="M7145" t="s">
        <v>7328</v>
      </c>
      <c r="N7145" t="str">
        <f>"248030301202"</f>
        <v>248030301202</v>
      </c>
      <c r="O7145" t="str">
        <f>"460004200107123228"</f>
        <v>460004200107123228</v>
      </c>
    </row>
    <row r="7146" customFormat="1" spans="1:15">
      <c r="A7146">
        <v>9183</v>
      </c>
      <c r="B7146" t="s">
        <v>7329</v>
      </c>
      <c r="C7146" t="str">
        <f>"130402200007141528"</f>
        <v>130402200007141528</v>
      </c>
      <c r="L7146">
        <v>9183</v>
      </c>
      <c r="M7146" t="s">
        <v>7329</v>
      </c>
      <c r="O7146" t="str">
        <f>"130402200007141528"</f>
        <v>130402200007141528</v>
      </c>
    </row>
    <row r="7147" customFormat="1" spans="1:15">
      <c r="A7147">
        <v>9184</v>
      </c>
      <c r="B7147" t="s">
        <v>7330</v>
      </c>
      <c r="C7147" t="str">
        <f>"460031199909235225"</f>
        <v>460031199909235225</v>
      </c>
      <c r="L7147">
        <v>9184</v>
      </c>
      <c r="M7147" t="s">
        <v>7330</v>
      </c>
      <c r="O7147" t="str">
        <f>"460031199909235225"</f>
        <v>460031199909235225</v>
      </c>
    </row>
    <row r="7148" customFormat="1" spans="1:15">
      <c r="A7148">
        <v>9186</v>
      </c>
      <c r="B7148" t="s">
        <v>7331</v>
      </c>
      <c r="C7148" t="str">
        <f>"450721198706307283"</f>
        <v>450721198706307283</v>
      </c>
      <c r="L7148">
        <v>9186</v>
      </c>
      <c r="M7148" t="s">
        <v>7331</v>
      </c>
      <c r="O7148" t="str">
        <f>"450721198706307283"</f>
        <v>450721198706307283</v>
      </c>
    </row>
    <row r="7149" customFormat="1" spans="1:15">
      <c r="A7149">
        <v>9187</v>
      </c>
      <c r="B7149" t="s">
        <v>7332</v>
      </c>
      <c r="C7149" t="str">
        <f>"460005200006292520"</f>
        <v>460005200006292520</v>
      </c>
      <c r="L7149">
        <v>9187</v>
      </c>
      <c r="M7149" t="s">
        <v>7332</v>
      </c>
      <c r="O7149" t="str">
        <f>"460005200006292520"</f>
        <v>460005200006292520</v>
      </c>
    </row>
    <row r="7150" customFormat="1" spans="1:15">
      <c r="A7150">
        <v>9188</v>
      </c>
      <c r="B7150" t="s">
        <v>7333</v>
      </c>
      <c r="C7150" t="str">
        <f>"640104200112061526"</f>
        <v>640104200112061526</v>
      </c>
      <c r="D7150" t="str">
        <f>"248030202717"</f>
        <v>248030202717</v>
      </c>
      <c r="L7150">
        <v>9188</v>
      </c>
      <c r="M7150" t="s">
        <v>7333</v>
      </c>
      <c r="N7150" t="str">
        <f>"248030202717"</f>
        <v>248030202717</v>
      </c>
      <c r="O7150" t="str">
        <f>"640104200112061526"</f>
        <v>640104200112061526</v>
      </c>
    </row>
    <row r="7151" customFormat="1" spans="1:15">
      <c r="A7151">
        <v>9190</v>
      </c>
      <c r="B7151" t="s">
        <v>7334</v>
      </c>
      <c r="C7151" t="str">
        <f>"410426199001143023"</f>
        <v>410426199001143023</v>
      </c>
      <c r="L7151">
        <v>9190</v>
      </c>
      <c r="M7151" t="s">
        <v>7334</v>
      </c>
      <c r="O7151" t="str">
        <f>"410426199001143023"</f>
        <v>410426199001143023</v>
      </c>
    </row>
    <row r="7152" customFormat="1" spans="1:15">
      <c r="A7152">
        <v>9192</v>
      </c>
      <c r="B7152" t="s">
        <v>7335</v>
      </c>
      <c r="C7152" t="str">
        <f>"460026199412110020"</f>
        <v>460026199412110020</v>
      </c>
      <c r="L7152">
        <v>9192</v>
      </c>
      <c r="M7152" t="s">
        <v>7335</v>
      </c>
      <c r="O7152" t="str">
        <f>"460026199412110020"</f>
        <v>460026199412110020</v>
      </c>
    </row>
    <row r="7153" customFormat="1" spans="1:15">
      <c r="A7153">
        <v>9193</v>
      </c>
      <c r="B7153" t="s">
        <v>7336</v>
      </c>
      <c r="C7153" t="str">
        <f>"460003199907084421"</f>
        <v>460003199907084421</v>
      </c>
      <c r="L7153">
        <v>9193</v>
      </c>
      <c r="M7153" t="s">
        <v>7336</v>
      </c>
      <c r="O7153" t="str">
        <f>"460003199907084421"</f>
        <v>460003199907084421</v>
      </c>
    </row>
    <row r="7154" customFormat="1" spans="1:15">
      <c r="A7154">
        <v>9194</v>
      </c>
      <c r="B7154" t="s">
        <v>7337</v>
      </c>
      <c r="C7154" t="str">
        <f>"460006200101275223"</f>
        <v>460006200101275223</v>
      </c>
      <c r="D7154" t="str">
        <f>"248030301523"</f>
        <v>248030301523</v>
      </c>
      <c r="L7154">
        <v>9194</v>
      </c>
      <c r="M7154" t="s">
        <v>7337</v>
      </c>
      <c r="N7154" t="str">
        <f>"248030301523"</f>
        <v>248030301523</v>
      </c>
      <c r="O7154" t="str">
        <f>"460006200101275223"</f>
        <v>460006200101275223</v>
      </c>
    </row>
    <row r="7155" customFormat="1" spans="1:15">
      <c r="A7155">
        <v>9196</v>
      </c>
      <c r="B7155" t="s">
        <v>7338</v>
      </c>
      <c r="C7155" t="str">
        <f>"513022199512206523"</f>
        <v>513022199512206523</v>
      </c>
      <c r="L7155">
        <v>9196</v>
      </c>
      <c r="M7155" t="s">
        <v>7338</v>
      </c>
      <c r="O7155" t="str">
        <f>"513022199512206523"</f>
        <v>513022199512206523</v>
      </c>
    </row>
    <row r="7156" customFormat="1" spans="1:15">
      <c r="A7156">
        <v>9199</v>
      </c>
      <c r="B7156" t="s">
        <v>7339</v>
      </c>
      <c r="C7156" t="str">
        <f>"469007200202077220"</f>
        <v>469007200202077220</v>
      </c>
      <c r="D7156" t="str">
        <f>"248030401915"</f>
        <v>248030401915</v>
      </c>
      <c r="L7156">
        <v>9199</v>
      </c>
      <c r="M7156" t="s">
        <v>7339</v>
      </c>
      <c r="N7156" t="str">
        <f>"248030401915"</f>
        <v>248030401915</v>
      </c>
      <c r="O7156" t="str">
        <f>"469007200202077220"</f>
        <v>469007200202077220</v>
      </c>
    </row>
    <row r="7157" customFormat="1" spans="1:15">
      <c r="A7157">
        <v>9200</v>
      </c>
      <c r="B7157" t="s">
        <v>7340</v>
      </c>
      <c r="C7157" t="str">
        <f>"320721199203064449"</f>
        <v>320721199203064449</v>
      </c>
      <c r="D7157" t="str">
        <f>"248030101417"</f>
        <v>248030101417</v>
      </c>
      <c r="L7157">
        <v>9200</v>
      </c>
      <c r="M7157" t="s">
        <v>7340</v>
      </c>
      <c r="N7157" t="str">
        <f>"248030101417"</f>
        <v>248030101417</v>
      </c>
      <c r="O7157" t="str">
        <f>"320721199203064449"</f>
        <v>320721199203064449</v>
      </c>
    </row>
    <row r="7158" customFormat="1" spans="1:15">
      <c r="A7158">
        <v>9201</v>
      </c>
      <c r="B7158" t="s">
        <v>7341</v>
      </c>
      <c r="C7158" t="str">
        <f>"469024200208030067"</f>
        <v>469024200208030067</v>
      </c>
      <c r="D7158" t="str">
        <f>"248030502328"</f>
        <v>248030502328</v>
      </c>
      <c r="L7158">
        <v>9201</v>
      </c>
      <c r="M7158" t="s">
        <v>7341</v>
      </c>
      <c r="N7158" t="str">
        <f>"248030502328"</f>
        <v>248030502328</v>
      </c>
      <c r="O7158" t="str">
        <f>"469024200208030067"</f>
        <v>469024200208030067</v>
      </c>
    </row>
    <row r="7159" customFormat="1" spans="1:15">
      <c r="A7159">
        <v>9202</v>
      </c>
      <c r="B7159" t="s">
        <v>7342</v>
      </c>
      <c r="C7159" t="str">
        <f>"370283199912284322"</f>
        <v>370283199912284322</v>
      </c>
      <c r="D7159" t="str">
        <f>"248030401925"</f>
        <v>248030401925</v>
      </c>
      <c r="L7159">
        <v>9202</v>
      </c>
      <c r="M7159" t="s">
        <v>7342</v>
      </c>
      <c r="N7159" t="str">
        <f>"248030401925"</f>
        <v>248030401925</v>
      </c>
      <c r="O7159" t="str">
        <f>"370283199912284322"</f>
        <v>370283199912284322</v>
      </c>
    </row>
    <row r="7160" customFormat="1" spans="1:15">
      <c r="A7160">
        <v>9203</v>
      </c>
      <c r="B7160" t="s">
        <v>7343</v>
      </c>
      <c r="C7160" t="str">
        <f>"622827199904134135"</f>
        <v>622827199904134135</v>
      </c>
      <c r="D7160" t="str">
        <f>"248030401025"</f>
        <v>248030401025</v>
      </c>
      <c r="L7160">
        <v>9203</v>
      </c>
      <c r="M7160" t="s">
        <v>7343</v>
      </c>
      <c r="N7160" t="str">
        <f>"248030401025"</f>
        <v>248030401025</v>
      </c>
      <c r="O7160" t="str">
        <f>"622827199904134135"</f>
        <v>622827199904134135</v>
      </c>
    </row>
    <row r="7161" customFormat="1" spans="1:15">
      <c r="A7161">
        <v>9205</v>
      </c>
      <c r="B7161" t="s">
        <v>7344</v>
      </c>
      <c r="C7161" t="str">
        <f>"341225200205090163"</f>
        <v>341225200205090163</v>
      </c>
      <c r="D7161" t="str">
        <f>"248030302203"</f>
        <v>248030302203</v>
      </c>
      <c r="L7161">
        <v>9205</v>
      </c>
      <c r="M7161" t="s">
        <v>7344</v>
      </c>
      <c r="N7161" t="str">
        <f>"248030302203"</f>
        <v>248030302203</v>
      </c>
      <c r="O7161" t="str">
        <f>"341225200205090163"</f>
        <v>341225200205090163</v>
      </c>
    </row>
    <row r="7162" customFormat="1" spans="1:15">
      <c r="A7162">
        <v>9206</v>
      </c>
      <c r="B7162" t="s">
        <v>7345</v>
      </c>
      <c r="C7162" t="str">
        <f>"460026199610043922"</f>
        <v>460026199610043922</v>
      </c>
      <c r="D7162" t="str">
        <f>"248030104923"</f>
        <v>248030104923</v>
      </c>
      <c r="L7162">
        <v>9206</v>
      </c>
      <c r="M7162" t="s">
        <v>7345</v>
      </c>
      <c r="N7162" t="str">
        <f>"248030104923"</f>
        <v>248030104923</v>
      </c>
      <c r="O7162" t="str">
        <f>"460026199610043922"</f>
        <v>460026199610043922</v>
      </c>
    </row>
    <row r="7163" customFormat="1" spans="1:15">
      <c r="A7163">
        <v>9207</v>
      </c>
      <c r="B7163" t="s">
        <v>7346</v>
      </c>
      <c r="C7163" t="str">
        <f>"232722199110110721"</f>
        <v>232722199110110721</v>
      </c>
      <c r="D7163" t="str">
        <f>"248030101526"</f>
        <v>248030101526</v>
      </c>
      <c r="L7163">
        <v>9207</v>
      </c>
      <c r="M7163" t="s">
        <v>7346</v>
      </c>
      <c r="N7163" t="str">
        <f>"248030101526"</f>
        <v>248030101526</v>
      </c>
      <c r="O7163" t="str">
        <f>"232722199110110721"</f>
        <v>232722199110110721</v>
      </c>
    </row>
    <row r="7164" customFormat="1" spans="1:15">
      <c r="A7164">
        <v>9208</v>
      </c>
      <c r="B7164" t="s">
        <v>7347</v>
      </c>
      <c r="C7164" t="str">
        <f>"410327200101058543"</f>
        <v>410327200101058543</v>
      </c>
      <c r="D7164" t="str">
        <f>"248030502230"</f>
        <v>248030502230</v>
      </c>
      <c r="L7164">
        <v>9208</v>
      </c>
      <c r="M7164" t="s">
        <v>7347</v>
      </c>
      <c r="N7164" t="str">
        <f>"248030502230"</f>
        <v>248030502230</v>
      </c>
      <c r="O7164" t="str">
        <f>"410327200101058543"</f>
        <v>410327200101058543</v>
      </c>
    </row>
    <row r="7165" customFormat="1" spans="1:15">
      <c r="A7165">
        <v>9209</v>
      </c>
      <c r="B7165" t="s">
        <v>2567</v>
      </c>
      <c r="C7165" t="str">
        <f>"460004200007244022"</f>
        <v>460004200007244022</v>
      </c>
      <c r="L7165">
        <v>9209</v>
      </c>
      <c r="M7165" t="s">
        <v>2567</v>
      </c>
      <c r="O7165" t="str">
        <f>"460004200007244022"</f>
        <v>460004200007244022</v>
      </c>
    </row>
    <row r="7166" customFormat="1" spans="1:15">
      <c r="A7166">
        <v>9210</v>
      </c>
      <c r="B7166" t="s">
        <v>903</v>
      </c>
      <c r="C7166" t="str">
        <f>"460025200201190023"</f>
        <v>460025200201190023</v>
      </c>
      <c r="D7166" t="str">
        <f>"248030401110"</f>
        <v>248030401110</v>
      </c>
      <c r="L7166">
        <v>9210</v>
      </c>
      <c r="M7166" t="s">
        <v>903</v>
      </c>
      <c r="N7166" t="str">
        <f>"248030401110"</f>
        <v>248030401110</v>
      </c>
      <c r="O7166" t="str">
        <f>"460025200201190023"</f>
        <v>460025200201190023</v>
      </c>
    </row>
    <row r="7167" customFormat="1" spans="1:15">
      <c r="A7167">
        <v>9211</v>
      </c>
      <c r="B7167" t="s">
        <v>7348</v>
      </c>
      <c r="C7167" t="str">
        <f>"362202199008255058"</f>
        <v>362202199008255058</v>
      </c>
      <c r="L7167">
        <v>9211</v>
      </c>
      <c r="M7167" t="s">
        <v>7348</v>
      </c>
      <c r="O7167" t="str">
        <f>"362202199008255058"</f>
        <v>362202199008255058</v>
      </c>
    </row>
    <row r="7168" customFormat="1" spans="1:15">
      <c r="A7168">
        <v>9212</v>
      </c>
      <c r="B7168" t="s">
        <v>7349</v>
      </c>
      <c r="C7168" t="str">
        <f>"46000319920420102X"</f>
        <v>46000319920420102X</v>
      </c>
      <c r="L7168">
        <v>9212</v>
      </c>
      <c r="M7168" t="s">
        <v>7349</v>
      </c>
      <c r="O7168" t="str">
        <f>"46000319920420102X"</f>
        <v>46000319920420102X</v>
      </c>
    </row>
    <row r="7169" customFormat="1" spans="1:15">
      <c r="A7169">
        <v>9213</v>
      </c>
      <c r="B7169" t="s">
        <v>7350</v>
      </c>
      <c r="C7169" t="str">
        <f>"460103199006150327"</f>
        <v>460103199006150327</v>
      </c>
      <c r="D7169" t="str">
        <f>"248030202502"</f>
        <v>248030202502</v>
      </c>
      <c r="L7169">
        <v>9213</v>
      </c>
      <c r="M7169" t="s">
        <v>7350</v>
      </c>
      <c r="N7169" t="str">
        <f>"248030202502"</f>
        <v>248030202502</v>
      </c>
      <c r="O7169" t="str">
        <f>"460103199006150327"</f>
        <v>460103199006150327</v>
      </c>
    </row>
    <row r="7170" customFormat="1" spans="1:15">
      <c r="A7170">
        <v>9214</v>
      </c>
      <c r="B7170" t="s">
        <v>7351</v>
      </c>
      <c r="C7170" t="str">
        <f>"460033199704130887"</f>
        <v>460033199704130887</v>
      </c>
      <c r="D7170" t="str">
        <f>"248030401926"</f>
        <v>248030401926</v>
      </c>
      <c r="L7170">
        <v>9214</v>
      </c>
      <c r="M7170" t="s">
        <v>7351</v>
      </c>
      <c r="N7170" t="str">
        <f>"248030401926"</f>
        <v>248030401926</v>
      </c>
      <c r="O7170" t="str">
        <f>"460033199704130887"</f>
        <v>460033199704130887</v>
      </c>
    </row>
    <row r="7171" customFormat="1" spans="1:15">
      <c r="A7171">
        <v>9216</v>
      </c>
      <c r="B7171" t="s">
        <v>7352</v>
      </c>
      <c r="C7171" t="str">
        <f>"341223199301010284"</f>
        <v>341223199301010284</v>
      </c>
      <c r="L7171">
        <v>9216</v>
      </c>
      <c r="M7171" t="s">
        <v>7352</v>
      </c>
      <c r="O7171" t="str">
        <f>"341223199301010284"</f>
        <v>341223199301010284</v>
      </c>
    </row>
    <row r="7172" customFormat="1" spans="1:15">
      <c r="A7172">
        <v>9217</v>
      </c>
      <c r="B7172" t="s">
        <v>7353</v>
      </c>
      <c r="C7172" t="str">
        <f>"460028199902183225"</f>
        <v>460028199902183225</v>
      </c>
      <c r="D7172" t="str">
        <f>"248030500827"</f>
        <v>248030500827</v>
      </c>
      <c r="L7172">
        <v>9217</v>
      </c>
      <c r="M7172" t="s">
        <v>7353</v>
      </c>
      <c r="N7172" t="str">
        <f>"248030500827"</f>
        <v>248030500827</v>
      </c>
      <c r="O7172" t="str">
        <f>"460028199902183225"</f>
        <v>460028199902183225</v>
      </c>
    </row>
    <row r="7173" customFormat="1" spans="1:15">
      <c r="A7173">
        <v>9221</v>
      </c>
      <c r="B7173" t="s">
        <v>7354</v>
      </c>
      <c r="C7173" t="str">
        <f>"460006200112030440"</f>
        <v>460006200112030440</v>
      </c>
      <c r="D7173" t="str">
        <f>"248030400412"</f>
        <v>248030400412</v>
      </c>
      <c r="L7173">
        <v>9221</v>
      </c>
      <c r="M7173" t="s">
        <v>7354</v>
      </c>
      <c r="N7173" t="str">
        <f>"248030400412"</f>
        <v>248030400412</v>
      </c>
      <c r="O7173" t="str">
        <f>"460006200112030440"</f>
        <v>460006200112030440</v>
      </c>
    </row>
    <row r="7174" customFormat="1" spans="1:15">
      <c r="A7174">
        <v>9222</v>
      </c>
      <c r="B7174" t="s">
        <v>7355</v>
      </c>
      <c r="C7174" t="str">
        <f>"460102200209280622"</f>
        <v>460102200209280622</v>
      </c>
      <c r="D7174" t="str">
        <f>"248030503729"</f>
        <v>248030503729</v>
      </c>
      <c r="L7174">
        <v>9222</v>
      </c>
      <c r="M7174" t="s">
        <v>7355</v>
      </c>
      <c r="N7174" t="str">
        <f>"248030503729"</f>
        <v>248030503729</v>
      </c>
      <c r="O7174" t="str">
        <f>"460102200209280622"</f>
        <v>460102200209280622</v>
      </c>
    </row>
    <row r="7175" customFormat="1" spans="1:15">
      <c r="A7175">
        <v>9223</v>
      </c>
      <c r="B7175" t="s">
        <v>7356</v>
      </c>
      <c r="C7175" t="str">
        <f>"411527199705220026"</f>
        <v>411527199705220026</v>
      </c>
      <c r="L7175">
        <v>9223</v>
      </c>
      <c r="M7175" t="s">
        <v>7356</v>
      </c>
      <c r="O7175" t="str">
        <f>"411527199705220026"</f>
        <v>411527199705220026</v>
      </c>
    </row>
    <row r="7176" customFormat="1" spans="1:15">
      <c r="A7176">
        <v>9224</v>
      </c>
      <c r="B7176" t="s">
        <v>7357</v>
      </c>
      <c r="C7176" t="str">
        <f>"460003199403212426"</f>
        <v>460003199403212426</v>
      </c>
      <c r="L7176">
        <v>9224</v>
      </c>
      <c r="M7176" t="s">
        <v>7357</v>
      </c>
      <c r="O7176" t="str">
        <f>"460003199403212426"</f>
        <v>460003199403212426</v>
      </c>
    </row>
    <row r="7177" customFormat="1" spans="1:15">
      <c r="A7177">
        <v>9226</v>
      </c>
      <c r="B7177" t="s">
        <v>7358</v>
      </c>
      <c r="C7177" t="str">
        <f>"460104198902101541"</f>
        <v>460104198902101541</v>
      </c>
      <c r="L7177">
        <v>9226</v>
      </c>
      <c r="M7177" t="s">
        <v>7358</v>
      </c>
      <c r="O7177" t="str">
        <f>"460104198902101541"</f>
        <v>460104198902101541</v>
      </c>
    </row>
    <row r="7178" customFormat="1" spans="1:15">
      <c r="A7178">
        <v>9227</v>
      </c>
      <c r="B7178" t="s">
        <v>7359</v>
      </c>
      <c r="C7178" t="str">
        <f>"460002199607251228"</f>
        <v>460002199607251228</v>
      </c>
      <c r="D7178" t="str">
        <f>"248030200424"</f>
        <v>248030200424</v>
      </c>
      <c r="L7178">
        <v>9227</v>
      </c>
      <c r="M7178" t="s">
        <v>7359</v>
      </c>
      <c r="N7178" t="str">
        <f>"248030200424"</f>
        <v>248030200424</v>
      </c>
      <c r="O7178" t="str">
        <f>"460002199607251228"</f>
        <v>460002199607251228</v>
      </c>
    </row>
    <row r="7179" customFormat="1" spans="1:15">
      <c r="A7179">
        <v>9228</v>
      </c>
      <c r="B7179" t="s">
        <v>6157</v>
      </c>
      <c r="C7179" t="str">
        <f>"460036199803200026"</f>
        <v>460036199803200026</v>
      </c>
      <c r="D7179" t="str">
        <f>"248030504117"</f>
        <v>248030504117</v>
      </c>
      <c r="L7179">
        <v>9228</v>
      </c>
      <c r="M7179" t="s">
        <v>6157</v>
      </c>
      <c r="N7179" t="str">
        <f>"248030504117"</f>
        <v>248030504117</v>
      </c>
      <c r="O7179" t="str">
        <f>"460036199803200026"</f>
        <v>460036199803200026</v>
      </c>
    </row>
    <row r="7180" customFormat="1" spans="1:15">
      <c r="A7180">
        <v>9229</v>
      </c>
      <c r="B7180" t="s">
        <v>7360</v>
      </c>
      <c r="C7180" t="str">
        <f>"469002199806151527"</f>
        <v>469002199806151527</v>
      </c>
      <c r="D7180" t="str">
        <f>"248030301926"</f>
        <v>248030301926</v>
      </c>
      <c r="L7180">
        <v>9229</v>
      </c>
      <c r="M7180" t="s">
        <v>7360</v>
      </c>
      <c r="N7180" t="str">
        <f>"248030301926"</f>
        <v>248030301926</v>
      </c>
      <c r="O7180" t="str">
        <f>"469002199806151527"</f>
        <v>469002199806151527</v>
      </c>
    </row>
    <row r="7181" customFormat="1" spans="1:15">
      <c r="A7181">
        <v>9230</v>
      </c>
      <c r="B7181" t="s">
        <v>7361</v>
      </c>
      <c r="C7181" t="str">
        <f>"460102199112220329"</f>
        <v>460102199112220329</v>
      </c>
      <c r="D7181" t="str">
        <f>"248030100407"</f>
        <v>248030100407</v>
      </c>
      <c r="L7181">
        <v>9230</v>
      </c>
      <c r="M7181" t="s">
        <v>7361</v>
      </c>
      <c r="N7181" t="str">
        <f>"248030100407"</f>
        <v>248030100407</v>
      </c>
      <c r="O7181" t="str">
        <f>"460102199112220329"</f>
        <v>460102199112220329</v>
      </c>
    </row>
    <row r="7182" customFormat="1" spans="1:15">
      <c r="A7182">
        <v>9231</v>
      </c>
      <c r="B7182" t="s">
        <v>7362</v>
      </c>
      <c r="C7182" t="str">
        <f>"460027199512074422"</f>
        <v>460027199512074422</v>
      </c>
      <c r="D7182" t="str">
        <f>"248030104820"</f>
        <v>248030104820</v>
      </c>
      <c r="L7182">
        <v>9231</v>
      </c>
      <c r="M7182" t="s">
        <v>7362</v>
      </c>
      <c r="N7182" t="str">
        <f>"248030104820"</f>
        <v>248030104820</v>
      </c>
      <c r="O7182" t="str">
        <f>"460027199512074422"</f>
        <v>460027199512074422</v>
      </c>
    </row>
    <row r="7183" customFormat="1" spans="1:15">
      <c r="A7183">
        <v>9232</v>
      </c>
      <c r="B7183" t="s">
        <v>7363</v>
      </c>
      <c r="C7183" t="str">
        <f>"460005200211232121"</f>
        <v>460005200211232121</v>
      </c>
      <c r="D7183" t="str">
        <f>"248030101530"</f>
        <v>248030101530</v>
      </c>
      <c r="L7183">
        <v>9232</v>
      </c>
      <c r="M7183" t="s">
        <v>7363</v>
      </c>
      <c r="N7183" t="str">
        <f>"248030101530"</f>
        <v>248030101530</v>
      </c>
      <c r="O7183" t="str">
        <f>"460005200211232121"</f>
        <v>460005200211232121</v>
      </c>
    </row>
    <row r="7184" customFormat="1" spans="1:15">
      <c r="A7184">
        <v>9233</v>
      </c>
      <c r="B7184" t="s">
        <v>7364</v>
      </c>
      <c r="C7184" t="str">
        <f>"460026199601100024"</f>
        <v>460026199601100024</v>
      </c>
      <c r="D7184" t="str">
        <f>"248030403625"</f>
        <v>248030403625</v>
      </c>
      <c r="L7184">
        <v>9233</v>
      </c>
      <c r="M7184" t="s">
        <v>7364</v>
      </c>
      <c r="N7184" t="str">
        <f>"248030403625"</f>
        <v>248030403625</v>
      </c>
      <c r="O7184" t="str">
        <f>"460026199601100024"</f>
        <v>460026199601100024</v>
      </c>
    </row>
    <row r="7185" customFormat="1" spans="1:15">
      <c r="A7185">
        <v>9236</v>
      </c>
      <c r="B7185" t="s">
        <v>7365</v>
      </c>
      <c r="C7185" t="str">
        <f>"530421199701031968"</f>
        <v>530421199701031968</v>
      </c>
      <c r="L7185">
        <v>9236</v>
      </c>
      <c r="M7185" t="s">
        <v>7365</v>
      </c>
      <c r="O7185" t="str">
        <f>"530421199701031968"</f>
        <v>530421199701031968</v>
      </c>
    </row>
    <row r="7186" customFormat="1" spans="1:15">
      <c r="A7186">
        <v>9241</v>
      </c>
      <c r="B7186" t="s">
        <v>7366</v>
      </c>
      <c r="C7186" t="str">
        <f>"460004199608213429"</f>
        <v>460004199608213429</v>
      </c>
      <c r="D7186" t="str">
        <f>"248030300225"</f>
        <v>248030300225</v>
      </c>
      <c r="L7186">
        <v>9241</v>
      </c>
      <c r="M7186" t="s">
        <v>7366</v>
      </c>
      <c r="N7186" t="str">
        <f>"248030300225"</f>
        <v>248030300225</v>
      </c>
      <c r="O7186" t="str">
        <f>"460004199608213429"</f>
        <v>460004199608213429</v>
      </c>
    </row>
    <row r="7187" customFormat="1" spans="1:15">
      <c r="A7187">
        <v>9243</v>
      </c>
      <c r="B7187" t="s">
        <v>7367</v>
      </c>
      <c r="C7187" t="str">
        <f>"460033199504213901"</f>
        <v>460033199504213901</v>
      </c>
      <c r="D7187" t="str">
        <f>"248030502107"</f>
        <v>248030502107</v>
      </c>
      <c r="L7187">
        <v>9243</v>
      </c>
      <c r="M7187" t="s">
        <v>7367</v>
      </c>
      <c r="N7187" t="str">
        <f>"248030502107"</f>
        <v>248030502107</v>
      </c>
      <c r="O7187" t="str">
        <f>"460033199504213901"</f>
        <v>460033199504213901</v>
      </c>
    </row>
    <row r="7188" customFormat="1" spans="1:15">
      <c r="A7188">
        <v>9244</v>
      </c>
      <c r="B7188" t="s">
        <v>7368</v>
      </c>
      <c r="C7188" t="str">
        <f>"460005200211160527"</f>
        <v>460005200211160527</v>
      </c>
      <c r="D7188" t="str">
        <f>"248030202903"</f>
        <v>248030202903</v>
      </c>
      <c r="L7188">
        <v>9244</v>
      </c>
      <c r="M7188" t="s">
        <v>7368</v>
      </c>
      <c r="N7188" t="str">
        <f>"248030202903"</f>
        <v>248030202903</v>
      </c>
      <c r="O7188" t="str">
        <f>"460005200211160527"</f>
        <v>460005200211160527</v>
      </c>
    </row>
    <row r="7189" customFormat="1" spans="1:15">
      <c r="A7189">
        <v>9245</v>
      </c>
      <c r="B7189" t="s">
        <v>7369</v>
      </c>
      <c r="C7189" t="str">
        <f>"231025200209252223"</f>
        <v>231025200209252223</v>
      </c>
      <c r="D7189" t="str">
        <f>"248030302122"</f>
        <v>248030302122</v>
      </c>
      <c r="L7189">
        <v>9245</v>
      </c>
      <c r="M7189" t="s">
        <v>7369</v>
      </c>
      <c r="N7189" t="str">
        <f>"248030302122"</f>
        <v>248030302122</v>
      </c>
      <c r="O7189" t="str">
        <f>"231025200209252223"</f>
        <v>231025200209252223</v>
      </c>
    </row>
    <row r="7190" customFormat="1" spans="1:15">
      <c r="A7190">
        <v>9246</v>
      </c>
      <c r="B7190" t="s">
        <v>7370</v>
      </c>
      <c r="C7190" t="str">
        <f>"460003200109195827"</f>
        <v>460003200109195827</v>
      </c>
      <c r="L7190">
        <v>9246</v>
      </c>
      <c r="M7190" t="s">
        <v>7370</v>
      </c>
      <c r="O7190" t="str">
        <f>"460003200109195827"</f>
        <v>460003200109195827</v>
      </c>
    </row>
    <row r="7191" customFormat="1" spans="1:15">
      <c r="A7191">
        <v>9249</v>
      </c>
      <c r="B7191" t="s">
        <v>7371</v>
      </c>
      <c r="C7191" t="str">
        <f>"460004200007173420"</f>
        <v>460004200007173420</v>
      </c>
      <c r="D7191" t="str">
        <f>"248030502911"</f>
        <v>248030502911</v>
      </c>
      <c r="L7191">
        <v>9249</v>
      </c>
      <c r="M7191" t="s">
        <v>7371</v>
      </c>
      <c r="N7191" t="str">
        <f>"248030502911"</f>
        <v>248030502911</v>
      </c>
      <c r="O7191" t="str">
        <f>"460004200007173420"</f>
        <v>460004200007173420</v>
      </c>
    </row>
    <row r="7192" customFormat="1" spans="1:15">
      <c r="A7192">
        <v>9250</v>
      </c>
      <c r="B7192" t="s">
        <v>7372</v>
      </c>
      <c r="C7192" t="str">
        <f>"460028200205045228"</f>
        <v>460028200205045228</v>
      </c>
      <c r="D7192" t="str">
        <f>"248030302116"</f>
        <v>248030302116</v>
      </c>
      <c r="L7192">
        <v>9250</v>
      </c>
      <c r="M7192" t="s">
        <v>7372</v>
      </c>
      <c r="N7192" t="str">
        <f>"248030302116"</f>
        <v>248030302116</v>
      </c>
      <c r="O7192" t="str">
        <f>"460028200205045228"</f>
        <v>460028200205045228</v>
      </c>
    </row>
    <row r="7193" customFormat="1" spans="1:15">
      <c r="A7193">
        <v>9251</v>
      </c>
      <c r="B7193" t="s">
        <v>7373</v>
      </c>
      <c r="C7193" t="str">
        <f>"460028200101280821"</f>
        <v>460028200101280821</v>
      </c>
      <c r="D7193" t="str">
        <f>"248030403715"</f>
        <v>248030403715</v>
      </c>
      <c r="L7193">
        <v>9251</v>
      </c>
      <c r="M7193" t="s">
        <v>7373</v>
      </c>
      <c r="N7193" t="str">
        <f>"248030403715"</f>
        <v>248030403715</v>
      </c>
      <c r="O7193" t="str">
        <f>"460028200101280821"</f>
        <v>460028200101280821</v>
      </c>
    </row>
    <row r="7194" customFormat="1" spans="1:15">
      <c r="A7194">
        <v>9252</v>
      </c>
      <c r="B7194" t="s">
        <v>7374</v>
      </c>
      <c r="C7194" t="str">
        <f>"500233199511167601"</f>
        <v>500233199511167601</v>
      </c>
      <c r="L7194">
        <v>9252</v>
      </c>
      <c r="M7194" t="s">
        <v>7374</v>
      </c>
      <c r="O7194" t="str">
        <f>"500233199511167601"</f>
        <v>500233199511167601</v>
      </c>
    </row>
    <row r="7195" customFormat="1" spans="1:15">
      <c r="A7195">
        <v>9255</v>
      </c>
      <c r="B7195" t="s">
        <v>7375</v>
      </c>
      <c r="C7195" t="str">
        <f>"460006200207218120"</f>
        <v>460006200207218120</v>
      </c>
      <c r="D7195" t="str">
        <f>"248030404011"</f>
        <v>248030404011</v>
      </c>
      <c r="L7195">
        <v>9255</v>
      </c>
      <c r="M7195" t="s">
        <v>7375</v>
      </c>
      <c r="N7195" t="str">
        <f>"248030404011"</f>
        <v>248030404011</v>
      </c>
      <c r="O7195" t="str">
        <f>"460006200207218120"</f>
        <v>460006200207218120</v>
      </c>
    </row>
    <row r="7196" customFormat="1" spans="1:15">
      <c r="A7196">
        <v>9256</v>
      </c>
      <c r="B7196" t="s">
        <v>7376</v>
      </c>
      <c r="C7196" t="str">
        <f>"230404200103150324"</f>
        <v>230404200103150324</v>
      </c>
      <c r="L7196">
        <v>9256</v>
      </c>
      <c r="M7196" t="s">
        <v>7376</v>
      </c>
      <c r="O7196" t="str">
        <f>"230404200103150324"</f>
        <v>230404200103150324</v>
      </c>
    </row>
    <row r="7197" customFormat="1" spans="1:15">
      <c r="A7197">
        <v>9258</v>
      </c>
      <c r="B7197" t="s">
        <v>7377</v>
      </c>
      <c r="C7197" t="str">
        <f>"460102200208134228"</f>
        <v>460102200208134228</v>
      </c>
      <c r="D7197" t="str">
        <f>"248030504021"</f>
        <v>248030504021</v>
      </c>
      <c r="L7197">
        <v>9258</v>
      </c>
      <c r="M7197" t="s">
        <v>7377</v>
      </c>
      <c r="N7197" t="str">
        <f>"248030504021"</f>
        <v>248030504021</v>
      </c>
      <c r="O7197" t="str">
        <f>"460102200208134228"</f>
        <v>460102200208134228</v>
      </c>
    </row>
    <row r="7198" customFormat="1" spans="1:15">
      <c r="A7198">
        <v>9259</v>
      </c>
      <c r="B7198" t="s">
        <v>7378</v>
      </c>
      <c r="C7198" t="str">
        <f>"46000319990923186X"</f>
        <v>46000319990923186X</v>
      </c>
      <c r="L7198">
        <v>9259</v>
      </c>
      <c r="M7198" t="s">
        <v>7378</v>
      </c>
      <c r="O7198" t="str">
        <f>"46000319990923186X"</f>
        <v>46000319990923186X</v>
      </c>
    </row>
    <row r="7199" customFormat="1" spans="1:15">
      <c r="A7199">
        <v>9260</v>
      </c>
      <c r="B7199" t="s">
        <v>7379</v>
      </c>
      <c r="C7199" t="str">
        <f>"440823199306032023"</f>
        <v>440823199306032023</v>
      </c>
      <c r="D7199" t="str">
        <f>"248030501627"</f>
        <v>248030501627</v>
      </c>
      <c r="L7199">
        <v>9260</v>
      </c>
      <c r="M7199" t="s">
        <v>7379</v>
      </c>
      <c r="N7199" t="str">
        <f>"248030501627"</f>
        <v>248030501627</v>
      </c>
      <c r="O7199" t="str">
        <f>"440823199306032023"</f>
        <v>440823199306032023</v>
      </c>
    </row>
    <row r="7200" customFormat="1" spans="1:15">
      <c r="A7200">
        <v>9261</v>
      </c>
      <c r="B7200" t="s">
        <v>7380</v>
      </c>
      <c r="C7200" t="str">
        <f>"412728199705061254"</f>
        <v>412728199705061254</v>
      </c>
      <c r="L7200">
        <v>9261</v>
      </c>
      <c r="M7200" t="s">
        <v>7380</v>
      </c>
      <c r="O7200" t="str">
        <f>"412728199705061254"</f>
        <v>412728199705061254</v>
      </c>
    </row>
    <row r="7201" customFormat="1" spans="1:15">
      <c r="A7201">
        <v>9262</v>
      </c>
      <c r="B7201" t="s">
        <v>7381</v>
      </c>
      <c r="C7201" t="str">
        <f>"460026199712113928"</f>
        <v>460026199712113928</v>
      </c>
      <c r="D7201" t="str">
        <f>"248030403314"</f>
        <v>248030403314</v>
      </c>
      <c r="L7201">
        <v>9262</v>
      </c>
      <c r="M7201" t="s">
        <v>7381</v>
      </c>
      <c r="N7201" t="str">
        <f>"248030403314"</f>
        <v>248030403314</v>
      </c>
      <c r="O7201" t="str">
        <f>"460026199712113928"</f>
        <v>460026199712113928</v>
      </c>
    </row>
    <row r="7202" customFormat="1" spans="1:15">
      <c r="A7202">
        <v>9265</v>
      </c>
      <c r="B7202" t="s">
        <v>7382</v>
      </c>
      <c r="C7202" t="str">
        <f>"430703200304170820"</f>
        <v>430703200304170820</v>
      </c>
      <c r="D7202" t="str">
        <f>"248030103304"</f>
        <v>248030103304</v>
      </c>
      <c r="L7202">
        <v>9265</v>
      </c>
      <c r="M7202" t="s">
        <v>7382</v>
      </c>
      <c r="N7202" t="str">
        <f>"248030103304"</f>
        <v>248030103304</v>
      </c>
      <c r="O7202" t="str">
        <f>"430703200304170820"</f>
        <v>430703200304170820</v>
      </c>
    </row>
    <row r="7203" customFormat="1" spans="1:15">
      <c r="A7203">
        <v>9266</v>
      </c>
      <c r="B7203" t="s">
        <v>7383</v>
      </c>
      <c r="C7203" t="str">
        <f>"522732200001095822"</f>
        <v>522732200001095822</v>
      </c>
      <c r="D7203" t="str">
        <f>"248030104809"</f>
        <v>248030104809</v>
      </c>
      <c r="L7203">
        <v>9266</v>
      </c>
      <c r="M7203" t="s">
        <v>7383</v>
      </c>
      <c r="N7203" t="str">
        <f>"248030104809"</f>
        <v>248030104809</v>
      </c>
      <c r="O7203" t="str">
        <f>"522732200001095822"</f>
        <v>522732200001095822</v>
      </c>
    </row>
    <row r="7204" customFormat="1" spans="1:15">
      <c r="A7204">
        <v>9268</v>
      </c>
      <c r="B7204" t="s">
        <v>7384</v>
      </c>
      <c r="C7204" t="str">
        <f>"130106198803060955"</f>
        <v>130106198803060955</v>
      </c>
      <c r="L7204">
        <v>9268</v>
      </c>
      <c r="M7204" t="s">
        <v>7384</v>
      </c>
      <c r="O7204" t="str">
        <f>"130106198803060955"</f>
        <v>130106198803060955</v>
      </c>
    </row>
    <row r="7205" customFormat="1" spans="1:15">
      <c r="A7205">
        <v>9270</v>
      </c>
      <c r="B7205" t="s">
        <v>7385</v>
      </c>
      <c r="C7205" t="str">
        <f>"460004199608231248"</f>
        <v>460004199608231248</v>
      </c>
      <c r="D7205" t="str">
        <f>"248030503319"</f>
        <v>248030503319</v>
      </c>
      <c r="L7205">
        <v>9270</v>
      </c>
      <c r="M7205" t="s">
        <v>7385</v>
      </c>
      <c r="N7205" t="str">
        <f>"248030503319"</f>
        <v>248030503319</v>
      </c>
      <c r="O7205" t="str">
        <f>"460004199608231248"</f>
        <v>460004199608231248</v>
      </c>
    </row>
    <row r="7206" customFormat="1" spans="1:15">
      <c r="A7206">
        <v>9271</v>
      </c>
      <c r="B7206" t="s">
        <v>7386</v>
      </c>
      <c r="C7206" t="str">
        <f>"460003199006224677"</f>
        <v>460003199006224677</v>
      </c>
      <c r="D7206" t="str">
        <f>"248030300714"</f>
        <v>248030300714</v>
      </c>
      <c r="L7206">
        <v>9271</v>
      </c>
      <c r="M7206" t="s">
        <v>7386</v>
      </c>
      <c r="N7206" t="str">
        <f>"248030300714"</f>
        <v>248030300714</v>
      </c>
      <c r="O7206" t="str">
        <f>"460003199006224677"</f>
        <v>460003199006224677</v>
      </c>
    </row>
    <row r="7207" customFormat="1" spans="1:15">
      <c r="A7207">
        <v>9272</v>
      </c>
      <c r="B7207" t="s">
        <v>7387</v>
      </c>
      <c r="C7207" t="str">
        <f>"410303198403041025"</f>
        <v>410303198403041025</v>
      </c>
      <c r="L7207">
        <v>9272</v>
      </c>
      <c r="M7207" t="s">
        <v>7387</v>
      </c>
      <c r="O7207" t="str">
        <f>"410303198403041025"</f>
        <v>410303198403041025</v>
      </c>
    </row>
    <row r="7208" customFormat="1" spans="1:15">
      <c r="A7208">
        <v>9275</v>
      </c>
      <c r="B7208" t="s">
        <v>7388</v>
      </c>
      <c r="C7208" t="str">
        <f>"46902320021009002X"</f>
        <v>46902320021009002X</v>
      </c>
      <c r="D7208" t="str">
        <f>"248030503915"</f>
        <v>248030503915</v>
      </c>
      <c r="L7208">
        <v>9275</v>
      </c>
      <c r="M7208" t="s">
        <v>7388</v>
      </c>
      <c r="N7208" t="str">
        <f>"248030503915"</f>
        <v>248030503915</v>
      </c>
      <c r="O7208" t="str">
        <f>"46902320021009002X"</f>
        <v>46902320021009002X</v>
      </c>
    </row>
    <row r="7209" customFormat="1" spans="1:15">
      <c r="A7209">
        <v>9276</v>
      </c>
      <c r="B7209" t="s">
        <v>7389</v>
      </c>
      <c r="C7209" t="str">
        <f>"44140219990129042X"</f>
        <v>44140219990129042X</v>
      </c>
      <c r="L7209">
        <v>9276</v>
      </c>
      <c r="M7209" t="s">
        <v>7389</v>
      </c>
      <c r="O7209" t="str">
        <f>"44140219990129042X"</f>
        <v>44140219990129042X</v>
      </c>
    </row>
    <row r="7210" customFormat="1" spans="1:15">
      <c r="A7210">
        <v>9277</v>
      </c>
      <c r="B7210" t="s">
        <v>7390</v>
      </c>
      <c r="C7210" t="str">
        <f>"460031199808020866"</f>
        <v>460031199808020866</v>
      </c>
      <c r="L7210">
        <v>9277</v>
      </c>
      <c r="M7210" t="s">
        <v>7390</v>
      </c>
      <c r="O7210" t="str">
        <f>"460031199808020866"</f>
        <v>460031199808020866</v>
      </c>
    </row>
    <row r="7211" customFormat="1" spans="1:15">
      <c r="A7211">
        <v>9278</v>
      </c>
      <c r="B7211" t="s">
        <v>7391</v>
      </c>
      <c r="C7211" t="str">
        <f>"460004199010113423"</f>
        <v>460004199010113423</v>
      </c>
      <c r="L7211">
        <v>9278</v>
      </c>
      <c r="M7211" t="s">
        <v>7391</v>
      </c>
      <c r="O7211" t="str">
        <f>"460004199010113423"</f>
        <v>460004199010113423</v>
      </c>
    </row>
    <row r="7212" customFormat="1" spans="1:15">
      <c r="A7212">
        <v>9280</v>
      </c>
      <c r="B7212" t="s">
        <v>7392</v>
      </c>
      <c r="C7212" t="str">
        <f>"460003199109063239"</f>
        <v>460003199109063239</v>
      </c>
      <c r="L7212">
        <v>9280</v>
      </c>
      <c r="M7212" t="s">
        <v>7392</v>
      </c>
      <c r="O7212" t="str">
        <f>"460003199109063239"</f>
        <v>460003199109063239</v>
      </c>
    </row>
    <row r="7213" customFormat="1" spans="1:15">
      <c r="A7213">
        <v>9281</v>
      </c>
      <c r="B7213" t="s">
        <v>7393</v>
      </c>
      <c r="C7213" t="str">
        <f>"140225199301013711"</f>
        <v>140225199301013711</v>
      </c>
      <c r="L7213">
        <v>9281</v>
      </c>
      <c r="M7213" t="s">
        <v>7393</v>
      </c>
      <c r="O7213" t="str">
        <f>"140225199301013711"</f>
        <v>140225199301013711</v>
      </c>
    </row>
    <row r="7214" customFormat="1" spans="1:15">
      <c r="A7214">
        <v>9282</v>
      </c>
      <c r="B7214" t="s">
        <v>7394</v>
      </c>
      <c r="C7214" t="str">
        <f>"460002200108301521"</f>
        <v>460002200108301521</v>
      </c>
      <c r="D7214" t="str">
        <f>"248030104528"</f>
        <v>248030104528</v>
      </c>
      <c r="L7214">
        <v>9282</v>
      </c>
      <c r="M7214" t="s">
        <v>7394</v>
      </c>
      <c r="N7214" t="str">
        <f>"248030104528"</f>
        <v>248030104528</v>
      </c>
      <c r="O7214" t="str">
        <f>"460002200108301521"</f>
        <v>460002200108301521</v>
      </c>
    </row>
    <row r="7215" customFormat="1" spans="1:15">
      <c r="A7215">
        <v>9284</v>
      </c>
      <c r="B7215" t="s">
        <v>7395</v>
      </c>
      <c r="C7215" t="str">
        <f>"460102199508131867"</f>
        <v>460102199508131867</v>
      </c>
      <c r="L7215">
        <v>9284</v>
      </c>
      <c r="M7215" t="s">
        <v>7395</v>
      </c>
      <c r="O7215" t="str">
        <f>"460102199508131867"</f>
        <v>460102199508131867</v>
      </c>
    </row>
    <row r="7216" customFormat="1" spans="1:15">
      <c r="A7216">
        <v>9286</v>
      </c>
      <c r="B7216" t="s">
        <v>7396</v>
      </c>
      <c r="C7216" t="str">
        <f>"230602199603022129"</f>
        <v>230602199603022129</v>
      </c>
      <c r="D7216" t="str">
        <f>"248030102912"</f>
        <v>248030102912</v>
      </c>
      <c r="L7216">
        <v>9286</v>
      </c>
      <c r="M7216" t="s">
        <v>7396</v>
      </c>
      <c r="N7216" t="str">
        <f>"248030102912"</f>
        <v>248030102912</v>
      </c>
      <c r="O7216" t="str">
        <f>"230602199603022129"</f>
        <v>230602199603022129</v>
      </c>
    </row>
    <row r="7217" customFormat="1" spans="1:15">
      <c r="A7217">
        <v>9287</v>
      </c>
      <c r="B7217" t="s">
        <v>7397</v>
      </c>
      <c r="C7217" t="str">
        <f>"460005199709204325"</f>
        <v>460005199709204325</v>
      </c>
      <c r="L7217">
        <v>9287</v>
      </c>
      <c r="M7217" t="s">
        <v>7397</v>
      </c>
      <c r="O7217" t="str">
        <f>"460005199709204325"</f>
        <v>460005199709204325</v>
      </c>
    </row>
    <row r="7218" customFormat="1" spans="1:15">
      <c r="A7218">
        <v>9288</v>
      </c>
      <c r="B7218" t="s">
        <v>7398</v>
      </c>
      <c r="C7218" t="str">
        <f>"440902198510123300"</f>
        <v>440902198510123300</v>
      </c>
      <c r="D7218" t="str">
        <f>"248030500704"</f>
        <v>248030500704</v>
      </c>
      <c r="L7218">
        <v>9288</v>
      </c>
      <c r="M7218" t="s">
        <v>7398</v>
      </c>
      <c r="N7218" t="str">
        <f>"248030500704"</f>
        <v>248030500704</v>
      </c>
      <c r="O7218" t="str">
        <f>"440902198510123300"</f>
        <v>440902198510123300</v>
      </c>
    </row>
    <row r="7219" customFormat="1" spans="1:15">
      <c r="A7219">
        <v>9289</v>
      </c>
      <c r="B7219" t="s">
        <v>7399</v>
      </c>
      <c r="C7219" t="str">
        <f>"420682198811194518"</f>
        <v>420682198811194518</v>
      </c>
      <c r="D7219" t="str">
        <f>"248030402512"</f>
        <v>248030402512</v>
      </c>
      <c r="L7219">
        <v>9289</v>
      </c>
      <c r="M7219" t="s">
        <v>7399</v>
      </c>
      <c r="N7219" t="str">
        <f>"248030402512"</f>
        <v>248030402512</v>
      </c>
      <c r="O7219" t="str">
        <f>"420682198811194518"</f>
        <v>420682198811194518</v>
      </c>
    </row>
    <row r="7220" customFormat="1" spans="1:15">
      <c r="A7220">
        <v>9290</v>
      </c>
      <c r="B7220" t="s">
        <v>720</v>
      </c>
      <c r="C7220" t="str">
        <f>"460025199709280622"</f>
        <v>460025199709280622</v>
      </c>
      <c r="L7220">
        <v>9290</v>
      </c>
      <c r="M7220" t="s">
        <v>720</v>
      </c>
      <c r="O7220" t="str">
        <f>"460025199709280622"</f>
        <v>460025199709280622</v>
      </c>
    </row>
    <row r="7221" customFormat="1" spans="1:15">
      <c r="A7221">
        <v>9292</v>
      </c>
      <c r="B7221" t="s">
        <v>7400</v>
      </c>
      <c r="C7221" t="str">
        <f>"430405199510054514"</f>
        <v>430405199510054514</v>
      </c>
      <c r="L7221">
        <v>9292</v>
      </c>
      <c r="M7221" t="s">
        <v>7400</v>
      </c>
      <c r="O7221" t="str">
        <f>"430405199510054514"</f>
        <v>430405199510054514</v>
      </c>
    </row>
    <row r="7222" customFormat="1" spans="1:15">
      <c r="A7222">
        <v>9293</v>
      </c>
      <c r="B7222" t="s">
        <v>7401</v>
      </c>
      <c r="C7222" t="str">
        <f>"460103199009250921"</f>
        <v>460103199009250921</v>
      </c>
      <c r="D7222" t="str">
        <f>"248030404002"</f>
        <v>248030404002</v>
      </c>
      <c r="L7222">
        <v>9293</v>
      </c>
      <c r="M7222" t="s">
        <v>7401</v>
      </c>
      <c r="N7222" t="str">
        <f>"248030404002"</f>
        <v>248030404002</v>
      </c>
      <c r="O7222" t="str">
        <f>"460103199009250921"</f>
        <v>460103199009250921</v>
      </c>
    </row>
    <row r="7223" customFormat="1" spans="1:15">
      <c r="A7223">
        <v>9295</v>
      </c>
      <c r="B7223" t="s">
        <v>7402</v>
      </c>
      <c r="C7223" t="str">
        <f>"450222200105292425"</f>
        <v>450222200105292425</v>
      </c>
      <c r="D7223" t="str">
        <f>"248030201421"</f>
        <v>248030201421</v>
      </c>
      <c r="L7223">
        <v>9295</v>
      </c>
      <c r="M7223" t="s">
        <v>7402</v>
      </c>
      <c r="N7223" t="str">
        <f>"248030201421"</f>
        <v>248030201421</v>
      </c>
      <c r="O7223" t="str">
        <f>"450222200105292425"</f>
        <v>450222200105292425</v>
      </c>
    </row>
    <row r="7224" customFormat="1" spans="1:15">
      <c r="A7224">
        <v>9296</v>
      </c>
      <c r="B7224" t="s">
        <v>7403</v>
      </c>
      <c r="C7224" t="str">
        <f>"500101198910139551"</f>
        <v>500101198910139551</v>
      </c>
      <c r="L7224">
        <v>9296</v>
      </c>
      <c r="M7224" t="s">
        <v>7403</v>
      </c>
      <c r="O7224" t="str">
        <f>"500101198910139551"</f>
        <v>500101198910139551</v>
      </c>
    </row>
    <row r="7225" customFormat="1" spans="1:15">
      <c r="A7225">
        <v>9298</v>
      </c>
      <c r="B7225" t="s">
        <v>1100</v>
      </c>
      <c r="C7225" t="str">
        <f>"460007200208075367"</f>
        <v>460007200208075367</v>
      </c>
      <c r="D7225" t="str">
        <f>"248030300220"</f>
        <v>248030300220</v>
      </c>
      <c r="L7225">
        <v>9298</v>
      </c>
      <c r="M7225" t="s">
        <v>1100</v>
      </c>
      <c r="N7225" t="str">
        <f>"248030300220"</f>
        <v>248030300220</v>
      </c>
      <c r="O7225" t="str">
        <f>"460007200208075367"</f>
        <v>460007200208075367</v>
      </c>
    </row>
    <row r="7226" customFormat="1" spans="1:15">
      <c r="A7226">
        <v>9299</v>
      </c>
      <c r="B7226" t="s">
        <v>6991</v>
      </c>
      <c r="C7226" t="str">
        <f>"460003199601290425"</f>
        <v>460003199601290425</v>
      </c>
      <c r="L7226">
        <v>9299</v>
      </c>
      <c r="M7226" t="s">
        <v>6991</v>
      </c>
      <c r="O7226" t="str">
        <f>"460003199601290425"</f>
        <v>460003199601290425</v>
      </c>
    </row>
    <row r="7227" customFormat="1" spans="1:15">
      <c r="A7227">
        <v>9300</v>
      </c>
      <c r="B7227" t="s">
        <v>7404</v>
      </c>
      <c r="C7227" t="str">
        <f>"23230120020424022X"</f>
        <v>23230120020424022X</v>
      </c>
      <c r="D7227" t="str">
        <f>"248030503011"</f>
        <v>248030503011</v>
      </c>
      <c r="L7227">
        <v>9300</v>
      </c>
      <c r="M7227" t="s">
        <v>7404</v>
      </c>
      <c r="N7227" t="str">
        <f>"248030503011"</f>
        <v>248030503011</v>
      </c>
      <c r="O7227" t="str">
        <f>"23230120020424022X"</f>
        <v>23230120020424022X</v>
      </c>
    </row>
    <row r="7228" customFormat="1" spans="1:15">
      <c r="A7228">
        <v>9301</v>
      </c>
      <c r="B7228" t="s">
        <v>7405</v>
      </c>
      <c r="C7228" t="str">
        <f>"371702200110272915"</f>
        <v>371702200110272915</v>
      </c>
      <c r="D7228" t="str">
        <f>"248030401205"</f>
        <v>248030401205</v>
      </c>
      <c r="L7228">
        <v>9301</v>
      </c>
      <c r="M7228" t="s">
        <v>7405</v>
      </c>
      <c r="N7228" t="str">
        <f>"248030401205"</f>
        <v>248030401205</v>
      </c>
      <c r="O7228" t="str">
        <f>"371702200110272915"</f>
        <v>371702200110272915</v>
      </c>
    </row>
    <row r="7229" customFormat="1" spans="1:15">
      <c r="A7229">
        <v>9302</v>
      </c>
      <c r="B7229" t="s">
        <v>7406</v>
      </c>
      <c r="C7229" t="str">
        <f>"360121200101121940"</f>
        <v>360121200101121940</v>
      </c>
      <c r="D7229" t="str">
        <f>"248030503129"</f>
        <v>248030503129</v>
      </c>
      <c r="L7229">
        <v>9302</v>
      </c>
      <c r="M7229" t="s">
        <v>7406</v>
      </c>
      <c r="N7229" t="str">
        <f>"248030503129"</f>
        <v>248030503129</v>
      </c>
      <c r="O7229" t="str">
        <f>"360121200101121940"</f>
        <v>360121200101121940</v>
      </c>
    </row>
    <row r="7230" customFormat="1" spans="1:15">
      <c r="A7230">
        <v>9304</v>
      </c>
      <c r="B7230" t="s">
        <v>7407</v>
      </c>
      <c r="C7230" t="str">
        <f>"460003198812083210"</f>
        <v>460003198812083210</v>
      </c>
      <c r="L7230">
        <v>9304</v>
      </c>
      <c r="M7230" t="s">
        <v>7407</v>
      </c>
      <c r="O7230" t="str">
        <f>"460003198812083210"</f>
        <v>460003198812083210</v>
      </c>
    </row>
    <row r="7231" customFormat="1" spans="1:15">
      <c r="A7231">
        <v>9305</v>
      </c>
      <c r="B7231" t="s">
        <v>7408</v>
      </c>
      <c r="C7231" t="str">
        <f>"460005200206131721"</f>
        <v>460005200206131721</v>
      </c>
      <c r="D7231" t="str">
        <f>"248030400725"</f>
        <v>248030400725</v>
      </c>
      <c r="L7231">
        <v>9305</v>
      </c>
      <c r="M7231" t="s">
        <v>7408</v>
      </c>
      <c r="N7231" t="str">
        <f>"248030400725"</f>
        <v>248030400725</v>
      </c>
      <c r="O7231" t="str">
        <f>"460005200206131721"</f>
        <v>460005200206131721</v>
      </c>
    </row>
    <row r="7232" customFormat="1" spans="1:15">
      <c r="A7232">
        <v>9306</v>
      </c>
      <c r="B7232" t="s">
        <v>7409</v>
      </c>
      <c r="C7232" t="str">
        <f>"411082199609047224"</f>
        <v>411082199609047224</v>
      </c>
      <c r="L7232">
        <v>9306</v>
      </c>
      <c r="M7232" t="s">
        <v>7409</v>
      </c>
      <c r="O7232" t="str">
        <f>"411082199609047224"</f>
        <v>411082199609047224</v>
      </c>
    </row>
    <row r="7233" customFormat="1" spans="1:15">
      <c r="A7233">
        <v>9307</v>
      </c>
      <c r="B7233" t="s">
        <v>7410</v>
      </c>
      <c r="C7233" t="str">
        <f>"460103199106261526"</f>
        <v>460103199106261526</v>
      </c>
      <c r="D7233" t="str">
        <f>"248030103025"</f>
        <v>248030103025</v>
      </c>
      <c r="L7233">
        <v>9307</v>
      </c>
      <c r="M7233" t="s">
        <v>7410</v>
      </c>
      <c r="N7233" t="str">
        <f>"248030103025"</f>
        <v>248030103025</v>
      </c>
      <c r="O7233" t="str">
        <f>"460103199106261526"</f>
        <v>460103199106261526</v>
      </c>
    </row>
    <row r="7234" customFormat="1" spans="1:15">
      <c r="A7234">
        <v>9308</v>
      </c>
      <c r="B7234" t="s">
        <v>7411</v>
      </c>
      <c r="C7234" t="str">
        <f>"460030199012186944"</f>
        <v>460030199012186944</v>
      </c>
      <c r="L7234">
        <v>9308</v>
      </c>
      <c r="M7234" t="s">
        <v>7411</v>
      </c>
      <c r="O7234" t="str">
        <f>"460030199012186944"</f>
        <v>460030199012186944</v>
      </c>
    </row>
    <row r="7235" customFormat="1" spans="1:15">
      <c r="A7235">
        <v>9309</v>
      </c>
      <c r="B7235" t="s">
        <v>7412</v>
      </c>
      <c r="C7235" t="str">
        <f>"460034198810300415"</f>
        <v>460034198810300415</v>
      </c>
      <c r="D7235" t="str">
        <f>"248030400908"</f>
        <v>248030400908</v>
      </c>
      <c r="L7235">
        <v>9309</v>
      </c>
      <c r="M7235" t="s">
        <v>7412</v>
      </c>
      <c r="N7235" t="str">
        <f>"248030400908"</f>
        <v>248030400908</v>
      </c>
      <c r="O7235" t="str">
        <f>"460034198810300415"</f>
        <v>460034198810300415</v>
      </c>
    </row>
    <row r="7236" customFormat="1" spans="1:15">
      <c r="A7236">
        <v>9310</v>
      </c>
      <c r="B7236" t="s">
        <v>7413</v>
      </c>
      <c r="C7236" t="str">
        <f>"440582199103222664"</f>
        <v>440582199103222664</v>
      </c>
      <c r="D7236" t="str">
        <f>"248030203330"</f>
        <v>248030203330</v>
      </c>
      <c r="L7236">
        <v>9310</v>
      </c>
      <c r="M7236" t="s">
        <v>7413</v>
      </c>
      <c r="N7236" t="str">
        <f>"248030203330"</f>
        <v>248030203330</v>
      </c>
      <c r="O7236" t="str">
        <f>"440582199103222664"</f>
        <v>440582199103222664</v>
      </c>
    </row>
    <row r="7237" customFormat="1" spans="1:15">
      <c r="A7237">
        <v>9311</v>
      </c>
      <c r="B7237" t="s">
        <v>7414</v>
      </c>
      <c r="C7237" t="str">
        <f>"513822200210140185"</f>
        <v>513822200210140185</v>
      </c>
      <c r="D7237" t="str">
        <f>"248030403002"</f>
        <v>248030403002</v>
      </c>
      <c r="L7237">
        <v>9311</v>
      </c>
      <c r="M7237" t="s">
        <v>7414</v>
      </c>
      <c r="N7237" t="str">
        <f>"248030403002"</f>
        <v>248030403002</v>
      </c>
      <c r="O7237" t="str">
        <f>"513822200210140185"</f>
        <v>513822200210140185</v>
      </c>
    </row>
    <row r="7238" customFormat="1" spans="1:15">
      <c r="A7238">
        <v>9312</v>
      </c>
      <c r="B7238" t="s">
        <v>7415</v>
      </c>
      <c r="C7238" t="str">
        <f>"46000719981028764X"</f>
        <v>46000719981028764X</v>
      </c>
      <c r="D7238" t="str">
        <f>"248030500427"</f>
        <v>248030500427</v>
      </c>
      <c r="L7238">
        <v>9312</v>
      </c>
      <c r="M7238" t="s">
        <v>7415</v>
      </c>
      <c r="N7238" t="str">
        <f>"248030500427"</f>
        <v>248030500427</v>
      </c>
      <c r="O7238" t="str">
        <f>"46000719981028764X"</f>
        <v>46000719981028764X</v>
      </c>
    </row>
    <row r="7239" customFormat="1" spans="1:15">
      <c r="A7239">
        <v>9313</v>
      </c>
      <c r="B7239" t="s">
        <v>7416</v>
      </c>
      <c r="C7239" t="str">
        <f>"460103200010050623"</f>
        <v>460103200010050623</v>
      </c>
      <c r="L7239">
        <v>9313</v>
      </c>
      <c r="M7239" t="s">
        <v>7416</v>
      </c>
      <c r="O7239" t="str">
        <f>"460103200010050623"</f>
        <v>460103200010050623</v>
      </c>
    </row>
    <row r="7240" customFormat="1" spans="1:15">
      <c r="A7240">
        <v>9315</v>
      </c>
      <c r="B7240" t="s">
        <v>7417</v>
      </c>
      <c r="C7240" t="str">
        <f>"460033199103290885"</f>
        <v>460033199103290885</v>
      </c>
      <c r="D7240" t="str">
        <f>"248030401523"</f>
        <v>248030401523</v>
      </c>
      <c r="L7240">
        <v>9315</v>
      </c>
      <c r="M7240" t="s">
        <v>7417</v>
      </c>
      <c r="N7240" t="str">
        <f>"248030401523"</f>
        <v>248030401523</v>
      </c>
      <c r="O7240" t="str">
        <f>"460033199103290885"</f>
        <v>460033199103290885</v>
      </c>
    </row>
    <row r="7241" customFormat="1" spans="1:15">
      <c r="A7241">
        <v>9316</v>
      </c>
      <c r="B7241" t="s">
        <v>7418</v>
      </c>
      <c r="C7241" t="str">
        <f>"460003199208056624"</f>
        <v>460003199208056624</v>
      </c>
      <c r="D7241" t="str">
        <f>"248030300515"</f>
        <v>248030300515</v>
      </c>
      <c r="L7241">
        <v>9316</v>
      </c>
      <c r="M7241" t="s">
        <v>7418</v>
      </c>
      <c r="N7241" t="str">
        <f>"248030300515"</f>
        <v>248030300515</v>
      </c>
      <c r="O7241" t="str">
        <f>"460003199208056624"</f>
        <v>460003199208056624</v>
      </c>
    </row>
    <row r="7242" customFormat="1" spans="1:15">
      <c r="A7242">
        <v>9317</v>
      </c>
      <c r="B7242" t="s">
        <v>7419</v>
      </c>
      <c r="C7242" t="str">
        <f>"230903199902010323"</f>
        <v>230903199902010323</v>
      </c>
      <c r="D7242" t="str">
        <f>"248030502317"</f>
        <v>248030502317</v>
      </c>
      <c r="L7242">
        <v>9317</v>
      </c>
      <c r="M7242" t="s">
        <v>7419</v>
      </c>
      <c r="N7242" t="str">
        <f>"248030502317"</f>
        <v>248030502317</v>
      </c>
      <c r="O7242" t="str">
        <f>"230903199902010323"</f>
        <v>230903199902010323</v>
      </c>
    </row>
    <row r="7243" customFormat="1" spans="1:15">
      <c r="A7243">
        <v>9318</v>
      </c>
      <c r="B7243" t="s">
        <v>7420</v>
      </c>
      <c r="C7243" t="str">
        <f>"46000319861013004X"</f>
        <v>46000319861013004X</v>
      </c>
      <c r="L7243">
        <v>9318</v>
      </c>
      <c r="M7243" t="s">
        <v>7420</v>
      </c>
      <c r="O7243" t="str">
        <f>"46000319861013004X"</f>
        <v>46000319861013004X</v>
      </c>
    </row>
    <row r="7244" customFormat="1" spans="1:15">
      <c r="A7244">
        <v>9319</v>
      </c>
      <c r="B7244" t="s">
        <v>7421</v>
      </c>
      <c r="C7244" t="str">
        <f>"460005199903281914"</f>
        <v>460005199903281914</v>
      </c>
      <c r="L7244">
        <v>9319</v>
      </c>
      <c r="M7244" t="s">
        <v>7421</v>
      </c>
      <c r="O7244" t="str">
        <f>"460005199903281914"</f>
        <v>460005199903281914</v>
      </c>
    </row>
    <row r="7245" customFormat="1" spans="1:15">
      <c r="A7245">
        <v>9320</v>
      </c>
      <c r="B7245" t="s">
        <v>7422</v>
      </c>
      <c r="C7245" t="str">
        <f>"42118119890110582X"</f>
        <v>42118119890110582X</v>
      </c>
      <c r="D7245" t="str">
        <f>"248030501727"</f>
        <v>248030501727</v>
      </c>
      <c r="L7245">
        <v>9320</v>
      </c>
      <c r="M7245" t="s">
        <v>7422</v>
      </c>
      <c r="N7245" t="str">
        <f>"248030501727"</f>
        <v>248030501727</v>
      </c>
      <c r="O7245" t="str">
        <f>"42118119890110582X"</f>
        <v>42118119890110582X</v>
      </c>
    </row>
    <row r="7246" customFormat="1" spans="1:15">
      <c r="A7246">
        <v>9321</v>
      </c>
      <c r="B7246" t="s">
        <v>7423</v>
      </c>
      <c r="C7246" t="str">
        <f>"142325199102225962"</f>
        <v>142325199102225962</v>
      </c>
      <c r="L7246">
        <v>9321</v>
      </c>
      <c r="M7246" t="s">
        <v>7423</v>
      </c>
      <c r="O7246" t="str">
        <f>"142325199102225962"</f>
        <v>142325199102225962</v>
      </c>
    </row>
    <row r="7247" customFormat="1" spans="1:15">
      <c r="A7247">
        <v>9322</v>
      </c>
      <c r="B7247" t="s">
        <v>7424</v>
      </c>
      <c r="C7247" t="str">
        <f>"231083198112120025"</f>
        <v>231083198112120025</v>
      </c>
      <c r="L7247">
        <v>9322</v>
      </c>
      <c r="M7247" t="s">
        <v>7424</v>
      </c>
      <c r="O7247" t="str">
        <f>"231083198112120025"</f>
        <v>231083198112120025</v>
      </c>
    </row>
    <row r="7248" customFormat="1" spans="1:15">
      <c r="A7248">
        <v>9324</v>
      </c>
      <c r="B7248" t="s">
        <v>7425</v>
      </c>
      <c r="C7248" t="str">
        <f>"211021199211055822"</f>
        <v>211021199211055822</v>
      </c>
      <c r="D7248" t="str">
        <f>"248030403008"</f>
        <v>248030403008</v>
      </c>
      <c r="L7248">
        <v>9324</v>
      </c>
      <c r="M7248" t="s">
        <v>7425</v>
      </c>
      <c r="N7248" t="str">
        <f>"248030403008"</f>
        <v>248030403008</v>
      </c>
      <c r="O7248" t="str">
        <f>"211021199211055822"</f>
        <v>211021199211055822</v>
      </c>
    </row>
    <row r="7249" customFormat="1" spans="1:15">
      <c r="A7249">
        <v>9327</v>
      </c>
      <c r="B7249" t="s">
        <v>7426</v>
      </c>
      <c r="C7249" t="str">
        <f>"460003199306051026"</f>
        <v>460003199306051026</v>
      </c>
      <c r="L7249">
        <v>9327</v>
      </c>
      <c r="M7249" t="s">
        <v>7426</v>
      </c>
      <c r="O7249" t="str">
        <f>"460003199306051026"</f>
        <v>460003199306051026</v>
      </c>
    </row>
    <row r="7250" customFormat="1" spans="1:15">
      <c r="A7250">
        <v>9328</v>
      </c>
      <c r="B7250" t="s">
        <v>7427</v>
      </c>
      <c r="C7250" t="str">
        <f>"46010219940627244X"</f>
        <v>46010219940627244X</v>
      </c>
      <c r="D7250" t="str">
        <f>"248030504129"</f>
        <v>248030504129</v>
      </c>
      <c r="L7250">
        <v>9328</v>
      </c>
      <c r="M7250" t="s">
        <v>7427</v>
      </c>
      <c r="N7250" t="str">
        <f>"248030504129"</f>
        <v>248030504129</v>
      </c>
      <c r="O7250" t="str">
        <f>"46010219940627244X"</f>
        <v>46010219940627244X</v>
      </c>
    </row>
    <row r="7251" customFormat="1" spans="1:15">
      <c r="A7251">
        <v>9329</v>
      </c>
      <c r="B7251" t="s">
        <v>1831</v>
      </c>
      <c r="C7251" t="str">
        <f>"220102199404091616"</f>
        <v>220102199404091616</v>
      </c>
      <c r="L7251">
        <v>9329</v>
      </c>
      <c r="M7251" t="s">
        <v>1831</v>
      </c>
      <c r="O7251" t="str">
        <f>"220102199404091616"</f>
        <v>220102199404091616</v>
      </c>
    </row>
    <row r="7252" customFormat="1" spans="1:15">
      <c r="A7252">
        <v>9330</v>
      </c>
      <c r="B7252" t="s">
        <v>7428</v>
      </c>
      <c r="C7252" t="str">
        <f>"41022519900331014X"</f>
        <v>41022519900331014X</v>
      </c>
      <c r="L7252">
        <v>9330</v>
      </c>
      <c r="M7252" t="s">
        <v>7428</v>
      </c>
      <c r="O7252" t="str">
        <f>"41022519900331014X"</f>
        <v>41022519900331014X</v>
      </c>
    </row>
    <row r="7253" customFormat="1" spans="1:15">
      <c r="A7253">
        <v>9331</v>
      </c>
      <c r="B7253" t="s">
        <v>7429</v>
      </c>
      <c r="C7253" t="str">
        <f>"460102198310030329"</f>
        <v>460102198310030329</v>
      </c>
      <c r="L7253">
        <v>9331</v>
      </c>
      <c r="M7253" t="s">
        <v>7429</v>
      </c>
      <c r="O7253" t="str">
        <f>"460102198310030329"</f>
        <v>460102198310030329</v>
      </c>
    </row>
    <row r="7254" customFormat="1" spans="1:15">
      <c r="A7254">
        <v>9332</v>
      </c>
      <c r="B7254" t="s">
        <v>7430</v>
      </c>
      <c r="C7254" t="str">
        <f>"23118119880622004X"</f>
        <v>23118119880622004X</v>
      </c>
      <c r="L7254">
        <v>9332</v>
      </c>
      <c r="M7254" t="s">
        <v>7430</v>
      </c>
      <c r="O7254" t="str">
        <f>"23118119880622004X"</f>
        <v>23118119880622004X</v>
      </c>
    </row>
    <row r="7255" customFormat="1" spans="1:15">
      <c r="A7255">
        <v>9333</v>
      </c>
      <c r="B7255" t="s">
        <v>7431</v>
      </c>
      <c r="C7255" t="str">
        <f>"46000720020416088X"</f>
        <v>46000720020416088X</v>
      </c>
      <c r="L7255">
        <v>9333</v>
      </c>
      <c r="M7255" t="s">
        <v>7431</v>
      </c>
      <c r="O7255" t="str">
        <f>"46000720020416088X"</f>
        <v>46000720020416088X</v>
      </c>
    </row>
    <row r="7256" customFormat="1" spans="1:15">
      <c r="A7256">
        <v>9334</v>
      </c>
      <c r="B7256" t="s">
        <v>7432</v>
      </c>
      <c r="C7256" t="str">
        <f>"460006199211150223"</f>
        <v>460006199211150223</v>
      </c>
      <c r="D7256" t="str">
        <f>"248030100603"</f>
        <v>248030100603</v>
      </c>
      <c r="L7256">
        <v>9334</v>
      </c>
      <c r="M7256" t="s">
        <v>7432</v>
      </c>
      <c r="N7256" t="str">
        <f>"248030100603"</f>
        <v>248030100603</v>
      </c>
      <c r="O7256" t="str">
        <f>"460006199211150223"</f>
        <v>460006199211150223</v>
      </c>
    </row>
    <row r="7257" customFormat="1" spans="1:15">
      <c r="A7257">
        <v>9336</v>
      </c>
      <c r="B7257" t="s">
        <v>7433</v>
      </c>
      <c r="C7257" t="str">
        <f>"460006199608124824"</f>
        <v>460006199608124824</v>
      </c>
      <c r="D7257" t="str">
        <f>"248030101309"</f>
        <v>248030101309</v>
      </c>
      <c r="L7257">
        <v>9336</v>
      </c>
      <c r="M7257" t="s">
        <v>7433</v>
      </c>
      <c r="N7257" t="str">
        <f>"248030101309"</f>
        <v>248030101309</v>
      </c>
      <c r="O7257" t="str">
        <f>"460006199608124824"</f>
        <v>460006199608124824</v>
      </c>
    </row>
    <row r="7258" customFormat="1" spans="1:15">
      <c r="A7258">
        <v>9337</v>
      </c>
      <c r="B7258" t="s">
        <v>7434</v>
      </c>
      <c r="C7258" t="str">
        <f>"14102520000705004X"</f>
        <v>14102520000705004X</v>
      </c>
      <c r="L7258">
        <v>9337</v>
      </c>
      <c r="M7258" t="s">
        <v>7434</v>
      </c>
      <c r="O7258" t="str">
        <f>"14102520000705004X"</f>
        <v>14102520000705004X</v>
      </c>
    </row>
    <row r="7259" customFormat="1" spans="1:15">
      <c r="A7259">
        <v>9338</v>
      </c>
      <c r="B7259" t="s">
        <v>7435</v>
      </c>
      <c r="C7259" t="str">
        <f>"460034199704115843"</f>
        <v>460034199704115843</v>
      </c>
      <c r="D7259" t="str">
        <f>"248030203010"</f>
        <v>248030203010</v>
      </c>
      <c r="L7259">
        <v>9338</v>
      </c>
      <c r="M7259" t="s">
        <v>7435</v>
      </c>
      <c r="N7259" t="str">
        <f>"248030203010"</f>
        <v>248030203010</v>
      </c>
      <c r="O7259" t="str">
        <f>"460034199704115843"</f>
        <v>460034199704115843</v>
      </c>
    </row>
    <row r="7260" customFormat="1" spans="1:15">
      <c r="A7260">
        <v>9339</v>
      </c>
      <c r="B7260" t="s">
        <v>7436</v>
      </c>
      <c r="C7260" t="str">
        <f>"152103200112016329"</f>
        <v>152103200112016329</v>
      </c>
      <c r="L7260">
        <v>9339</v>
      </c>
      <c r="M7260" t="s">
        <v>7436</v>
      </c>
      <c r="O7260" t="str">
        <f>"152103200112016329"</f>
        <v>152103200112016329</v>
      </c>
    </row>
    <row r="7261" customFormat="1" spans="1:15">
      <c r="A7261">
        <v>9340</v>
      </c>
      <c r="B7261" t="s">
        <v>7437</v>
      </c>
      <c r="C7261" t="str">
        <f>"510902198311059017"</f>
        <v>510902198311059017</v>
      </c>
      <c r="L7261">
        <v>9340</v>
      </c>
      <c r="M7261" t="s">
        <v>7437</v>
      </c>
      <c r="O7261" t="str">
        <f>"510902198311059017"</f>
        <v>510902198311059017</v>
      </c>
    </row>
    <row r="7262" customFormat="1" spans="1:15">
      <c r="A7262">
        <v>9341</v>
      </c>
      <c r="B7262" t="s">
        <v>7438</v>
      </c>
      <c r="C7262" t="str">
        <f>"460103199510252736"</f>
        <v>460103199510252736</v>
      </c>
      <c r="D7262" t="str">
        <f>"248030402530"</f>
        <v>248030402530</v>
      </c>
      <c r="L7262">
        <v>9341</v>
      </c>
      <c r="M7262" t="s">
        <v>7438</v>
      </c>
      <c r="N7262" t="str">
        <f>"248030402530"</f>
        <v>248030402530</v>
      </c>
      <c r="O7262" t="str">
        <f>"460103199510252736"</f>
        <v>460103199510252736</v>
      </c>
    </row>
    <row r="7263" customFormat="1" spans="1:15">
      <c r="A7263">
        <v>9342</v>
      </c>
      <c r="B7263" t="s">
        <v>4196</v>
      </c>
      <c r="C7263" t="str">
        <f>"460007200110240424"</f>
        <v>460007200110240424</v>
      </c>
      <c r="D7263" t="str">
        <f>"248030100927"</f>
        <v>248030100927</v>
      </c>
      <c r="L7263">
        <v>9342</v>
      </c>
      <c r="M7263" t="s">
        <v>4196</v>
      </c>
      <c r="N7263" t="str">
        <f>"248030100927"</f>
        <v>248030100927</v>
      </c>
      <c r="O7263" t="str">
        <f>"460007200110240424"</f>
        <v>460007200110240424</v>
      </c>
    </row>
    <row r="7264" customFormat="1" spans="1:15">
      <c r="A7264">
        <v>9343</v>
      </c>
      <c r="B7264" t="s">
        <v>7439</v>
      </c>
      <c r="C7264" t="str">
        <f>"460003199610057705"</f>
        <v>460003199610057705</v>
      </c>
      <c r="L7264">
        <v>9343</v>
      </c>
      <c r="M7264" t="s">
        <v>7439</v>
      </c>
      <c r="O7264" t="str">
        <f>"460003199610057705"</f>
        <v>460003199610057705</v>
      </c>
    </row>
    <row r="7265" customFormat="1" spans="1:15">
      <c r="A7265">
        <v>9344</v>
      </c>
      <c r="B7265" t="s">
        <v>7440</v>
      </c>
      <c r="C7265" t="str">
        <f>"460007199910115829"</f>
        <v>460007199910115829</v>
      </c>
      <c r="D7265" t="str">
        <f>"248030403224"</f>
        <v>248030403224</v>
      </c>
      <c r="L7265">
        <v>9344</v>
      </c>
      <c r="M7265" t="s">
        <v>7440</v>
      </c>
      <c r="N7265" t="str">
        <f>"248030403224"</f>
        <v>248030403224</v>
      </c>
      <c r="O7265" t="str">
        <f>"460007199910115829"</f>
        <v>460007199910115829</v>
      </c>
    </row>
    <row r="7266" customFormat="1" spans="1:15">
      <c r="A7266">
        <v>9347</v>
      </c>
      <c r="B7266" t="s">
        <v>7441</v>
      </c>
      <c r="C7266" t="str">
        <f>"142625198909063361"</f>
        <v>142625198909063361</v>
      </c>
      <c r="D7266" t="str">
        <f>"248030403407"</f>
        <v>248030403407</v>
      </c>
      <c r="L7266">
        <v>9347</v>
      </c>
      <c r="M7266" t="s">
        <v>7441</v>
      </c>
      <c r="N7266" t="str">
        <f>"248030403407"</f>
        <v>248030403407</v>
      </c>
      <c r="O7266" t="str">
        <f>"142625198909063361"</f>
        <v>142625198909063361</v>
      </c>
    </row>
    <row r="7267" customFormat="1" spans="1:15">
      <c r="A7267">
        <v>9349</v>
      </c>
      <c r="B7267" t="s">
        <v>7442</v>
      </c>
      <c r="C7267" t="str">
        <f>"510824199407054429"</f>
        <v>510824199407054429</v>
      </c>
      <c r="L7267">
        <v>9349</v>
      </c>
      <c r="M7267" t="s">
        <v>7442</v>
      </c>
      <c r="O7267" t="str">
        <f>"510824199407054429"</f>
        <v>510824199407054429</v>
      </c>
    </row>
    <row r="7268" customFormat="1" spans="1:15">
      <c r="A7268">
        <v>9350</v>
      </c>
      <c r="B7268" t="s">
        <v>2608</v>
      </c>
      <c r="C7268" t="str">
        <f>"46003419981205091X"</f>
        <v>46003419981205091X</v>
      </c>
      <c r="D7268" t="str">
        <f>"248030201604"</f>
        <v>248030201604</v>
      </c>
      <c r="L7268">
        <v>9350</v>
      </c>
      <c r="M7268" t="s">
        <v>2608</v>
      </c>
      <c r="N7268" t="str">
        <f>"248030201604"</f>
        <v>248030201604</v>
      </c>
      <c r="O7268" t="str">
        <f>"46003419981205091X"</f>
        <v>46003419981205091X</v>
      </c>
    </row>
    <row r="7269" customFormat="1" spans="1:15">
      <c r="A7269">
        <v>9351</v>
      </c>
      <c r="B7269" t="s">
        <v>7443</v>
      </c>
      <c r="C7269" t="str">
        <f>"440825199702130349"</f>
        <v>440825199702130349</v>
      </c>
      <c r="L7269">
        <v>9351</v>
      </c>
      <c r="M7269" t="s">
        <v>7443</v>
      </c>
      <c r="O7269" t="str">
        <f>"440825199702130349"</f>
        <v>440825199702130349</v>
      </c>
    </row>
    <row r="7270" customFormat="1" spans="1:15">
      <c r="A7270">
        <v>9352</v>
      </c>
      <c r="B7270" t="s">
        <v>7444</v>
      </c>
      <c r="C7270" t="str">
        <f>"469027199801105983"</f>
        <v>469027199801105983</v>
      </c>
      <c r="D7270" t="str">
        <f>"248030102223"</f>
        <v>248030102223</v>
      </c>
      <c r="L7270">
        <v>9352</v>
      </c>
      <c r="M7270" t="s">
        <v>7444</v>
      </c>
      <c r="N7270" t="str">
        <f>"248030102223"</f>
        <v>248030102223</v>
      </c>
      <c r="O7270" t="str">
        <f>"469027199801105983"</f>
        <v>469027199801105983</v>
      </c>
    </row>
    <row r="7271" customFormat="1" spans="1:15">
      <c r="A7271">
        <v>9353</v>
      </c>
      <c r="B7271" t="s">
        <v>7445</v>
      </c>
      <c r="C7271" t="str">
        <f>"410329198906213523"</f>
        <v>410329198906213523</v>
      </c>
      <c r="L7271">
        <v>9353</v>
      </c>
      <c r="M7271" t="s">
        <v>7445</v>
      </c>
      <c r="O7271" t="str">
        <f>"410329198906213523"</f>
        <v>410329198906213523</v>
      </c>
    </row>
    <row r="7272" customFormat="1" spans="1:15">
      <c r="A7272">
        <v>9355</v>
      </c>
      <c r="B7272" t="s">
        <v>1993</v>
      </c>
      <c r="C7272" t="str">
        <f>"460031200108130816"</f>
        <v>460031200108130816</v>
      </c>
      <c r="D7272" t="str">
        <f>"248030201623"</f>
        <v>248030201623</v>
      </c>
      <c r="L7272">
        <v>9355</v>
      </c>
      <c r="M7272" t="s">
        <v>1993</v>
      </c>
      <c r="N7272" t="str">
        <f>"248030201623"</f>
        <v>248030201623</v>
      </c>
      <c r="O7272" t="str">
        <f>"460031200108130816"</f>
        <v>460031200108130816</v>
      </c>
    </row>
    <row r="7273" customFormat="1" spans="1:15">
      <c r="A7273">
        <v>9356</v>
      </c>
      <c r="B7273" t="s">
        <v>7446</v>
      </c>
      <c r="C7273" t="str">
        <f>"460007199304180129"</f>
        <v>460007199304180129</v>
      </c>
      <c r="L7273">
        <v>9356</v>
      </c>
      <c r="M7273" t="s">
        <v>7446</v>
      </c>
      <c r="O7273" t="str">
        <f>"460007199304180129"</f>
        <v>460007199304180129</v>
      </c>
    </row>
    <row r="7274" customFormat="1" spans="1:15">
      <c r="A7274">
        <v>9357</v>
      </c>
      <c r="B7274" t="s">
        <v>3115</v>
      </c>
      <c r="C7274" t="str">
        <f>"460102199107110029"</f>
        <v>460102199107110029</v>
      </c>
      <c r="L7274">
        <v>9357</v>
      </c>
      <c r="M7274" t="s">
        <v>3115</v>
      </c>
      <c r="O7274" t="str">
        <f>"460102199107110029"</f>
        <v>460102199107110029</v>
      </c>
    </row>
    <row r="7275" customFormat="1" spans="1:15">
      <c r="A7275">
        <v>9359</v>
      </c>
      <c r="B7275" t="s">
        <v>7447</v>
      </c>
      <c r="C7275" t="str">
        <f>"460102200103120321"</f>
        <v>460102200103120321</v>
      </c>
      <c r="D7275" t="str">
        <f>"248030102729"</f>
        <v>248030102729</v>
      </c>
      <c r="L7275">
        <v>9359</v>
      </c>
      <c r="M7275" t="s">
        <v>7447</v>
      </c>
      <c r="N7275" t="str">
        <f>"248030102729"</f>
        <v>248030102729</v>
      </c>
      <c r="O7275" t="str">
        <f>"460102200103120321"</f>
        <v>460102200103120321</v>
      </c>
    </row>
    <row r="7276" customFormat="1" spans="1:15">
      <c r="A7276">
        <v>9360</v>
      </c>
      <c r="B7276" t="s">
        <v>7448</v>
      </c>
      <c r="C7276" t="str">
        <f>"230121198012043611"</f>
        <v>230121198012043611</v>
      </c>
      <c r="L7276">
        <v>9360</v>
      </c>
      <c r="M7276" t="s">
        <v>7448</v>
      </c>
      <c r="O7276" t="str">
        <f>"230121198012043611"</f>
        <v>230121198012043611</v>
      </c>
    </row>
    <row r="7277" customFormat="1" spans="1:15">
      <c r="A7277">
        <v>9361</v>
      </c>
      <c r="B7277" t="s">
        <v>7449</v>
      </c>
      <c r="C7277" t="str">
        <f>"46900719981123496X"</f>
        <v>46900719981123496X</v>
      </c>
      <c r="D7277" t="str">
        <f>"248030403616"</f>
        <v>248030403616</v>
      </c>
      <c r="L7277">
        <v>9361</v>
      </c>
      <c r="M7277" t="s">
        <v>7449</v>
      </c>
      <c r="N7277" t="str">
        <f>"248030403616"</f>
        <v>248030403616</v>
      </c>
      <c r="O7277" t="str">
        <f>"46900719981123496X"</f>
        <v>46900719981123496X</v>
      </c>
    </row>
    <row r="7278" customFormat="1" spans="1:15">
      <c r="A7278">
        <v>9362</v>
      </c>
      <c r="B7278" t="s">
        <v>7450</v>
      </c>
      <c r="C7278" t="str">
        <f>"460103198704200331"</f>
        <v>460103198704200331</v>
      </c>
      <c r="D7278" t="str">
        <f>"248030201513"</f>
        <v>248030201513</v>
      </c>
      <c r="L7278">
        <v>9362</v>
      </c>
      <c r="M7278" t="s">
        <v>7450</v>
      </c>
      <c r="N7278" t="str">
        <f>"248030201513"</f>
        <v>248030201513</v>
      </c>
      <c r="O7278" t="str">
        <f>"460103198704200331"</f>
        <v>460103198704200331</v>
      </c>
    </row>
    <row r="7279" customFormat="1" spans="1:15">
      <c r="A7279">
        <v>9365</v>
      </c>
      <c r="B7279" t="s">
        <v>7451</v>
      </c>
      <c r="C7279" t="str">
        <f>"430725200104158462"</f>
        <v>430725200104158462</v>
      </c>
      <c r="D7279" t="str">
        <f>"248030502922"</f>
        <v>248030502922</v>
      </c>
      <c r="L7279">
        <v>9365</v>
      </c>
      <c r="M7279" t="s">
        <v>7451</v>
      </c>
      <c r="N7279" t="str">
        <f>"248030502922"</f>
        <v>248030502922</v>
      </c>
      <c r="O7279" t="str">
        <f>"430725200104158462"</f>
        <v>430725200104158462</v>
      </c>
    </row>
    <row r="7280" customFormat="1" spans="1:15">
      <c r="A7280">
        <v>9366</v>
      </c>
      <c r="B7280" t="s">
        <v>7452</v>
      </c>
      <c r="C7280" t="str">
        <f>"460006199005300227"</f>
        <v>460006199005300227</v>
      </c>
      <c r="L7280">
        <v>9366</v>
      </c>
      <c r="M7280" t="s">
        <v>7452</v>
      </c>
      <c r="O7280" t="str">
        <f>"460006199005300227"</f>
        <v>460006199005300227</v>
      </c>
    </row>
    <row r="7281" customFormat="1" spans="1:15">
      <c r="A7281">
        <v>9367</v>
      </c>
      <c r="B7281" t="s">
        <v>7453</v>
      </c>
      <c r="C7281" t="str">
        <f>"620422198807288431"</f>
        <v>620422198807288431</v>
      </c>
      <c r="L7281">
        <v>9367</v>
      </c>
      <c r="M7281" t="s">
        <v>7453</v>
      </c>
      <c r="O7281" t="str">
        <f>"620422198807288431"</f>
        <v>620422198807288431</v>
      </c>
    </row>
    <row r="7282" customFormat="1" spans="1:15">
      <c r="A7282">
        <v>9368</v>
      </c>
      <c r="B7282" t="s">
        <v>7454</v>
      </c>
      <c r="C7282" t="str">
        <f>"360981200302261042"</f>
        <v>360981200302261042</v>
      </c>
      <c r="L7282">
        <v>9368</v>
      </c>
      <c r="M7282" t="s">
        <v>7454</v>
      </c>
      <c r="O7282" t="str">
        <f>"360981200302261042"</f>
        <v>360981200302261042</v>
      </c>
    </row>
    <row r="7283" customFormat="1" spans="1:15">
      <c r="A7283">
        <v>9369</v>
      </c>
      <c r="B7283" t="s">
        <v>7455</v>
      </c>
      <c r="C7283" t="str">
        <f>"370902199904150025"</f>
        <v>370902199904150025</v>
      </c>
      <c r="L7283">
        <v>9369</v>
      </c>
      <c r="M7283" t="s">
        <v>7455</v>
      </c>
      <c r="O7283" t="str">
        <f>"370902199904150025"</f>
        <v>370902199904150025</v>
      </c>
    </row>
    <row r="7284" customFormat="1" spans="1:15">
      <c r="A7284">
        <v>9370</v>
      </c>
      <c r="B7284" t="s">
        <v>7456</v>
      </c>
      <c r="C7284" t="str">
        <f>"460006199907255226"</f>
        <v>460006199907255226</v>
      </c>
      <c r="L7284">
        <v>9370</v>
      </c>
      <c r="M7284" t="s">
        <v>7456</v>
      </c>
      <c r="O7284" t="str">
        <f>"460006199907255226"</f>
        <v>460006199907255226</v>
      </c>
    </row>
    <row r="7285" customFormat="1" spans="1:15">
      <c r="A7285">
        <v>9372</v>
      </c>
      <c r="B7285" t="s">
        <v>7457</v>
      </c>
      <c r="C7285" t="str">
        <f>"36252619901010212X"</f>
        <v>36252619901010212X</v>
      </c>
      <c r="L7285">
        <v>9372</v>
      </c>
      <c r="M7285" t="s">
        <v>7457</v>
      </c>
      <c r="O7285" t="str">
        <f>"36252619901010212X"</f>
        <v>36252619901010212X</v>
      </c>
    </row>
    <row r="7286" customFormat="1" spans="1:15">
      <c r="A7286">
        <v>9374</v>
      </c>
      <c r="B7286" t="s">
        <v>7458</v>
      </c>
      <c r="C7286" t="str">
        <f>"460004199205070881"</f>
        <v>460004199205070881</v>
      </c>
      <c r="L7286">
        <v>9374</v>
      </c>
      <c r="M7286" t="s">
        <v>7458</v>
      </c>
      <c r="O7286" t="str">
        <f>"460004199205070881"</f>
        <v>460004199205070881</v>
      </c>
    </row>
    <row r="7287" customFormat="1" spans="1:15">
      <c r="A7287">
        <v>9375</v>
      </c>
      <c r="B7287" t="s">
        <v>7459</v>
      </c>
      <c r="C7287" t="str">
        <f>"412723199002037379"</f>
        <v>412723199002037379</v>
      </c>
      <c r="L7287">
        <v>9375</v>
      </c>
      <c r="M7287" t="s">
        <v>7459</v>
      </c>
      <c r="O7287" t="str">
        <f>"412723199002037379"</f>
        <v>412723199002037379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市教育局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GLGS</cp:lastModifiedBy>
  <dcterms:created xsi:type="dcterms:W3CDTF">2024-07-24T06:02:00Z</dcterms:created>
  <cp:lastPrinted>2024-07-27T01:22:00Z</cp:lastPrinted>
  <dcterms:modified xsi:type="dcterms:W3CDTF">2024-09-14T08:10:37Z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2052-12.1.0.18240</vt:lpwstr>
  </property>
</Properties>
</file>